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codeName="ThisWorkbook"/>
  <xr:revisionPtr revIDLastSave="0" documentId="13_ncr:1_{21E322D8-87ED-4CF9-8D79-D7265F0BE940}" xr6:coauthVersionLast="46" xr6:coauthVersionMax="46" xr10:uidLastSave="{00000000-0000-0000-0000-000000000000}"/>
  <bookViews>
    <workbookView xWindow="-108" yWindow="-108" windowWidth="23256" windowHeight="13176" tabRatio="795" firstSheet="1" xr2:uid="{00000000-000D-0000-FFFF-FFFF00000000}"/>
  </bookViews>
  <sheets>
    <sheet name="Instructions d'utilisation" sheetId="23" r:id="rId1"/>
    <sheet name="Modifs vs dernière version" sheetId="42" r:id="rId2"/>
    <sheet name="Info" sheetId="1" r:id="rId3"/>
    <sheet name="Éqpmt" sheetId="2" r:id="rId4"/>
    <sheet name="2.1 Général" sheetId="3" r:id="rId5"/>
    <sheet name="2.2 Compression" sheetId="4" r:id="rId6"/>
    <sheet name="2.3 SEA" sheetId="5" r:id="rId7"/>
    <sheet name="2.4 Détecteur(lin)" sheetId="26" r:id="rId8"/>
    <sheet name="2.4 Détecteur(log)" sheetId="44" r:id="rId9"/>
    <sheet name="2.5-2.6 Artéfacts" sheetId="60" r:id="rId10"/>
    <sheet name="2.7 Homog-DR" sheetId="57" r:id="rId11"/>
    <sheet name="2.7 Homog-CR" sheetId="8" r:id="rId12"/>
    <sheet name="2.7 Unifo" sheetId="9" r:id="rId13"/>
    <sheet name="2.8 FTM-2.9 stab" sheetId="10" r:id="rId14"/>
    <sheet name="2.9 Tension" sheetId="11" r:id="rId15"/>
    <sheet name="2.10-11-12 CDA_Kerma_DGM" sheetId="12" r:id="rId16"/>
    <sheet name="2.13 Align" sheetId="13" r:id="rId17"/>
    <sheet name="2.14 abMON" sheetId="14" r:id="rId18"/>
    <sheet name="2.14 cMON" sheetId="24" r:id="rId19"/>
    <sheet name="2.14 abMON (2)" sheetId="53" r:id="rId20"/>
    <sheet name="2.14 cMON (2)" sheetId="58" r:id="rId21"/>
    <sheet name="2.14 abMON (3)" sheetId="55" r:id="rId22"/>
    <sheet name="2.14 cMON (3)" sheetId="59" r:id="rId23"/>
    <sheet name="2.15 Fantôme" sheetId="17" r:id="rId24"/>
    <sheet name="2.16 Blindage" sheetId="18" r:id="rId25"/>
    <sheet name="Éq.Mes.Étal." sheetId="19" r:id="rId26"/>
    <sheet name="Feuille-add" sheetId="34" r:id="rId27"/>
  </sheets>
  <externalReferences>
    <externalReference r:id="rId28"/>
    <externalReference r:id="rId29"/>
  </externalReferences>
  <definedNames>
    <definedName name="_xlnm._FilterDatabase" localSheetId="15" hidden="1">'2.10-11-12 CDA_Kerma_DGM'!$J$69:$L$73</definedName>
    <definedName name="_xlnm._FilterDatabase" localSheetId="11" hidden="1">'2.7 Homog-CR'!$K$331:$Q$589</definedName>
    <definedName name="_xlnm._FilterDatabase" localSheetId="10" hidden="1">'2.7 Homog-DR'!$K$70:$Q$328</definedName>
    <definedName name="_xlnm._FilterDatabase" localSheetId="12" hidden="1">'2.7 Unifo'!$O$15:$T$45</definedName>
    <definedName name="Anodefiltre" localSheetId="8">'2.4 Détecteur(log)'!$M$49:$M$56</definedName>
    <definedName name="Anodefiltre">#REF!</definedName>
    <definedName name="anodFilt" localSheetId="8">'[1]2.10-11-12 CDA_Kerma_DGM'!$B$12</definedName>
    <definedName name="anodFilt" localSheetId="9">'[2]2.10-11-12 CDA_Kerma_DGM'!$B$12</definedName>
    <definedName name="anodFilt">'2.10-11-12 CDA_Kerma_DGM'!$B$12</definedName>
    <definedName name="cass" localSheetId="8">'[1]2.7 Unifo'!$N$15:$T$37</definedName>
    <definedName name="cass" localSheetId="9">'[2]2.7 Unifo'!$N$15:$T$37</definedName>
    <definedName name="cass">'2.7 Unifo'!$N$15:$T$37</definedName>
    <definedName name="M">'2.8 FTM-2.9 stab'!$G$17:$G$27</definedName>
    <definedName name="_xlnm.Print_Area" localSheetId="4">'2.1 Général'!$A$1:$H$42</definedName>
    <definedName name="_xlnm.Print_Area" localSheetId="15">'2.10-11-12 CDA_Kerma_DGM'!$A$1:$H$65</definedName>
    <definedName name="_xlnm.Print_Area" localSheetId="16">'2.13 Align'!$A$1:$H$66</definedName>
    <definedName name="_xlnm.Print_Area" localSheetId="17">'2.14 abMON'!$A$1:$H$56</definedName>
    <definedName name="_xlnm.Print_Area" localSheetId="19">'2.14 abMON (2)'!$A$1:$H$56</definedName>
    <definedName name="_xlnm.Print_Area" localSheetId="21">'2.14 abMON (3)'!$A$1:$H$56</definedName>
    <definedName name="_xlnm.Print_Area" localSheetId="18">'2.14 cMON'!$A$1:$J$58</definedName>
    <definedName name="_xlnm.Print_Area" localSheetId="20">'2.14 cMON (2)'!$A$1:$J$58</definedName>
    <definedName name="_xlnm.Print_Area" localSheetId="22">'2.14 cMON (3)'!$A$1:$J$58</definedName>
    <definedName name="_xlnm.Print_Area" localSheetId="23">'2.15 Fantôme'!$A$1:$H$49</definedName>
    <definedName name="_xlnm.Print_Area" localSheetId="24">'2.16 Blindage'!$A$1:$I$47</definedName>
    <definedName name="_xlnm.Print_Area" localSheetId="5">'2.2 Compression'!$A$1:$H$44</definedName>
    <definedName name="_xlnm.Print_Area" localSheetId="6">'2.3 SEA'!$A$1:$J$44</definedName>
    <definedName name="_xlnm.Print_Area" localSheetId="7">'2.4 Détecteur(lin)'!$A$1:$J$72</definedName>
    <definedName name="_xlnm.Print_Area" localSheetId="8">'2.4 Détecteur(log)'!$A$1:$J$59</definedName>
    <definedName name="_xlnm.Print_Area" localSheetId="9">'2.5-2.6 Artéfacts'!$A$1:$I$49</definedName>
    <definedName name="_xlnm.Print_Area" localSheetId="11">'2.7 Homog-CR'!$A$1:$H$328</definedName>
    <definedName name="_xlnm.Print_Area" localSheetId="10">'2.7 Homog-DR'!$A$1:$H$68</definedName>
    <definedName name="_xlnm.Print_Area" localSheetId="12">'2.7 Unifo'!$A$1:$I$60</definedName>
    <definedName name="_xlnm.Print_Area" localSheetId="13">'2.8 FTM-2.9 stab'!$A$1:$I$63</definedName>
    <definedName name="_xlnm.Print_Area" localSheetId="14">'2.9 Tension'!$A$1:$G$61</definedName>
    <definedName name="_xlnm.Print_Area" localSheetId="25">'Éq.Mes.Étal.'!$A$1:$H$39</definedName>
    <definedName name="_xlnm.Print_Area" localSheetId="3">Éqpmt!$A$1:$E$62</definedName>
    <definedName name="_xlnm.Print_Area" localSheetId="2">Info!$A$1:$G$53</definedName>
    <definedName name="_xlnm.Print_Area" localSheetId="0">'Instructions d''utilisation'!$A$1:$C$108</definedName>
    <definedName name="_xlnm.Print_Area" localSheetId="1">'Modifs vs dernière version'!$A$1:$C$32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1" i="13" l="1"/>
  <c r="G31" i="13"/>
  <c r="E31" i="13"/>
  <c r="D31" i="13"/>
  <c r="I49" i="44"/>
  <c r="J49" i="44"/>
  <c r="I50" i="44"/>
  <c r="J50" i="44"/>
  <c r="I51" i="44"/>
  <c r="J51" i="44"/>
  <c r="I52" i="44"/>
  <c r="J52" i="44"/>
  <c r="J48" i="44"/>
  <c r="I48" i="44"/>
  <c r="I41" i="44"/>
  <c r="J41" i="44"/>
  <c r="I42" i="44"/>
  <c r="J42" i="44"/>
  <c r="I43" i="44"/>
  <c r="J43" i="44"/>
  <c r="I44" i="44"/>
  <c r="J44" i="44"/>
  <c r="J40" i="44"/>
  <c r="I40" i="44"/>
  <c r="J65" i="26"/>
  <c r="I65" i="26"/>
  <c r="J64" i="26"/>
  <c r="I64" i="26"/>
  <c r="J63" i="26"/>
  <c r="I63" i="26"/>
  <c r="J62" i="26"/>
  <c r="I62" i="26"/>
  <c r="J61" i="26"/>
  <c r="I61" i="26"/>
  <c r="J57" i="26"/>
  <c r="I57" i="26"/>
  <c r="J56" i="26"/>
  <c r="I56" i="26"/>
  <c r="J55" i="26"/>
  <c r="I55" i="26"/>
  <c r="J54" i="26"/>
  <c r="I54" i="26"/>
  <c r="J53" i="26"/>
  <c r="I53" i="26"/>
  <c r="I46" i="26"/>
  <c r="J46" i="26"/>
  <c r="I47" i="26"/>
  <c r="J47" i="26"/>
  <c r="I48" i="26"/>
  <c r="J48" i="26"/>
  <c r="I49" i="26"/>
  <c r="J49" i="26"/>
  <c r="J45" i="26"/>
  <c r="I45" i="26"/>
  <c r="D58" i="12"/>
  <c r="D57" i="12"/>
  <c r="D56" i="12"/>
  <c r="D59" i="12" s="1"/>
  <c r="C54" i="12"/>
  <c r="C53" i="12"/>
  <c r="C52" i="12"/>
  <c r="C55" i="12" s="1"/>
  <c r="B50" i="12"/>
  <c r="B49" i="12"/>
  <c r="B51" i="12" s="1"/>
  <c r="N111" i="12"/>
  <c r="N115" i="12" s="1"/>
  <c r="M111" i="12"/>
  <c r="M115" i="12" s="1"/>
  <c r="L111" i="12"/>
  <c r="L112" i="12" s="1"/>
  <c r="I2" i="60"/>
  <c r="B2" i="60"/>
  <c r="I1" i="60"/>
  <c r="B1" i="60"/>
  <c r="C27" i="57"/>
  <c r="C13" i="57"/>
  <c r="D27" i="57"/>
  <c r="D13" i="57"/>
  <c r="E34" i="11"/>
  <c r="C34" i="11"/>
  <c r="G34" i="11" s="1"/>
  <c r="E33" i="11"/>
  <c r="C33" i="11"/>
  <c r="G33" i="11" s="1"/>
  <c r="E32" i="11"/>
  <c r="C32" i="11"/>
  <c r="G32" i="11" s="1"/>
  <c r="E31" i="11"/>
  <c r="C31" i="11"/>
  <c r="G31" i="11" s="1"/>
  <c r="D46" i="1"/>
  <c r="I43" i="60"/>
  <c r="E43" i="60"/>
  <c r="H43" i="60" s="1"/>
  <c r="H42" i="60"/>
  <c r="E42" i="60"/>
  <c r="I42" i="60" s="1"/>
  <c r="J49" i="60" s="1"/>
  <c r="L118" i="12" l="1"/>
  <c r="L116" i="12"/>
  <c r="N112" i="12"/>
  <c r="M117" i="12"/>
  <c r="L115" i="12"/>
  <c r="N117" i="12"/>
  <c r="M112" i="12"/>
  <c r="L117" i="12"/>
  <c r="F31" i="11"/>
  <c r="F32" i="11"/>
  <c r="F33" i="11"/>
  <c r="F34" i="11"/>
  <c r="B21" i="12"/>
  <c r="F58" i="13"/>
  <c r="G51" i="59"/>
  <c r="G50" i="59"/>
  <c r="H50" i="59" s="1"/>
  <c r="J52" i="59" s="1"/>
  <c r="AG48" i="59"/>
  <c r="AC48" i="59"/>
  <c r="N48" i="59" s="1"/>
  <c r="AB48" i="59"/>
  <c r="AH48" i="59" s="1"/>
  <c r="AA48" i="59"/>
  <c r="M48" i="59"/>
  <c r="AA47" i="59"/>
  <c r="M47" i="59"/>
  <c r="H47" i="59"/>
  <c r="G47" i="59"/>
  <c r="F47" i="59"/>
  <c r="AA46" i="59"/>
  <c r="AC47" i="59" s="1"/>
  <c r="N47" i="59" s="1"/>
  <c r="M46" i="59"/>
  <c r="AA45" i="59"/>
  <c r="M45" i="59"/>
  <c r="AA44" i="59"/>
  <c r="M44" i="59"/>
  <c r="AA43" i="59"/>
  <c r="M43" i="59"/>
  <c r="AA42" i="59"/>
  <c r="M42" i="59"/>
  <c r="AA41" i="59"/>
  <c r="M41" i="59"/>
  <c r="AC40" i="59"/>
  <c r="N40" i="59" s="1"/>
  <c r="AA40" i="59"/>
  <c r="M40" i="59"/>
  <c r="AA39" i="59"/>
  <c r="AC39" i="59" s="1"/>
  <c r="N39" i="59"/>
  <c r="M39" i="59"/>
  <c r="AC38" i="59"/>
  <c r="N38" i="59" s="1"/>
  <c r="AA38" i="59"/>
  <c r="M38" i="59"/>
  <c r="AA37" i="59"/>
  <c r="M37" i="59"/>
  <c r="AA36" i="59"/>
  <c r="AC36" i="59" s="1"/>
  <c r="N36" i="59"/>
  <c r="M36" i="59"/>
  <c r="AA35" i="59"/>
  <c r="M35" i="59"/>
  <c r="AA34" i="59"/>
  <c r="AC34" i="59" s="1"/>
  <c r="N34" i="59" s="1"/>
  <c r="M34" i="59"/>
  <c r="AA33" i="59"/>
  <c r="M33" i="59"/>
  <c r="AA32" i="59"/>
  <c r="AC32" i="59" s="1"/>
  <c r="N32" i="59"/>
  <c r="M32" i="59"/>
  <c r="AH31" i="59"/>
  <c r="AK52" i="59" s="1"/>
  <c r="AG31" i="59"/>
  <c r="AA31" i="59"/>
  <c r="AB31" i="59" s="1"/>
  <c r="X31" i="59"/>
  <c r="Y31" i="59" s="1"/>
  <c r="M30" i="59"/>
  <c r="AH26" i="59"/>
  <c r="AC26" i="59"/>
  <c r="N26" i="59" s="1"/>
  <c r="AB26" i="59"/>
  <c r="AA26" i="59"/>
  <c r="AG26" i="59" s="1"/>
  <c r="X26" i="59"/>
  <c r="Y26" i="59" s="1"/>
  <c r="M26" i="59"/>
  <c r="AA25" i="59"/>
  <c r="M25" i="59"/>
  <c r="I25" i="59"/>
  <c r="H25" i="59"/>
  <c r="G25" i="59"/>
  <c r="F25" i="59"/>
  <c r="AA24" i="59"/>
  <c r="AC25" i="59" s="1"/>
  <c r="N25" i="59" s="1"/>
  <c r="M24" i="59"/>
  <c r="AA23" i="59"/>
  <c r="M23" i="59"/>
  <c r="AC22" i="59"/>
  <c r="N22" i="59" s="1"/>
  <c r="AA22" i="59"/>
  <c r="M22" i="59"/>
  <c r="AA21" i="59"/>
  <c r="AC21" i="59" s="1"/>
  <c r="N21" i="59" s="1"/>
  <c r="M21" i="59"/>
  <c r="AC20" i="59"/>
  <c r="N20" i="59" s="1"/>
  <c r="AA20" i="59"/>
  <c r="M20" i="59"/>
  <c r="AA19" i="59"/>
  <c r="AC19" i="59" s="1"/>
  <c r="N19" i="59" s="1"/>
  <c r="M19" i="59"/>
  <c r="AC18" i="59"/>
  <c r="N18" i="59" s="1"/>
  <c r="AA18" i="59"/>
  <c r="M18" i="59"/>
  <c r="AA17" i="59"/>
  <c r="AC17" i="59" s="1"/>
  <c r="N17" i="59" s="1"/>
  <c r="M17" i="59"/>
  <c r="AC16" i="59"/>
  <c r="N16" i="59" s="1"/>
  <c r="AA16" i="59"/>
  <c r="M16" i="59"/>
  <c r="AA15" i="59"/>
  <c r="AC15" i="59" s="1"/>
  <c r="N15" i="59" s="1"/>
  <c r="M15" i="59"/>
  <c r="AC14" i="59"/>
  <c r="N14" i="59" s="1"/>
  <c r="AA14" i="59"/>
  <c r="M14" i="59"/>
  <c r="AC13" i="59"/>
  <c r="N13" i="59" s="1"/>
  <c r="AA13" i="59"/>
  <c r="M13" i="59"/>
  <c r="AA12" i="59"/>
  <c r="AC12" i="59" s="1"/>
  <c r="N12" i="59" s="1"/>
  <c r="M12" i="59"/>
  <c r="AC11" i="59"/>
  <c r="N11" i="59" s="1"/>
  <c r="AA11" i="59"/>
  <c r="M11" i="59"/>
  <c r="AA10" i="59"/>
  <c r="AC10" i="59" s="1"/>
  <c r="N10" i="59" s="1"/>
  <c r="M10" i="59"/>
  <c r="AG9" i="59"/>
  <c r="AB9" i="59"/>
  <c r="AH9" i="59" s="1"/>
  <c r="AA9" i="59"/>
  <c r="L9" i="59"/>
  <c r="K9" i="59"/>
  <c r="M8" i="59"/>
  <c r="L8" i="59"/>
  <c r="L6" i="59"/>
  <c r="L4" i="59"/>
  <c r="L2" i="59"/>
  <c r="J2" i="59"/>
  <c r="D2" i="59"/>
  <c r="J1" i="59"/>
  <c r="D1" i="59"/>
  <c r="G51" i="58"/>
  <c r="G50" i="58"/>
  <c r="H50" i="58" s="1"/>
  <c r="AG48" i="58"/>
  <c r="AC48" i="58"/>
  <c r="N48" i="58" s="1"/>
  <c r="AB48" i="58"/>
  <c r="AH48" i="58" s="1"/>
  <c r="AA48" i="58"/>
  <c r="X48" i="58"/>
  <c r="Y48" i="58" s="1"/>
  <c r="M48" i="58"/>
  <c r="AA47" i="58"/>
  <c r="M47" i="58"/>
  <c r="J47" i="58"/>
  <c r="H47" i="58"/>
  <c r="G47" i="58"/>
  <c r="F47" i="58"/>
  <c r="AA46" i="58"/>
  <c r="AC47" i="58" s="1"/>
  <c r="N47" i="58" s="1"/>
  <c r="M46" i="58"/>
  <c r="AA45" i="58"/>
  <c r="M45" i="58"/>
  <c r="AA44" i="58"/>
  <c r="M44" i="58"/>
  <c r="AA43" i="58"/>
  <c r="M43" i="58"/>
  <c r="AA42" i="58"/>
  <c r="M42" i="58"/>
  <c r="AA41" i="58"/>
  <c r="M41" i="58"/>
  <c r="AA40" i="58"/>
  <c r="M40" i="58"/>
  <c r="AA39" i="58"/>
  <c r="M39" i="58"/>
  <c r="AA38" i="58"/>
  <c r="M38" i="58"/>
  <c r="AA37" i="58"/>
  <c r="M37" i="58"/>
  <c r="AA36" i="58"/>
  <c r="M36" i="58"/>
  <c r="AA35" i="58"/>
  <c r="M35" i="58"/>
  <c r="AA34" i="58"/>
  <c r="M34" i="58"/>
  <c r="AA33" i="58"/>
  <c r="M33" i="58"/>
  <c r="AA32" i="58"/>
  <c r="M32" i="58"/>
  <c r="AA31" i="58"/>
  <c r="M30" i="58"/>
  <c r="AB26" i="58"/>
  <c r="AH26" i="58" s="1"/>
  <c r="AA26" i="58"/>
  <c r="AG26" i="58" s="1"/>
  <c r="X26" i="58"/>
  <c r="Y26" i="58" s="1"/>
  <c r="M26" i="58"/>
  <c r="AA25" i="58"/>
  <c r="AC26" i="58" s="1"/>
  <c r="N26" i="58" s="1"/>
  <c r="M25" i="58"/>
  <c r="I25" i="58"/>
  <c r="H25" i="58"/>
  <c r="G25" i="58"/>
  <c r="F25" i="58"/>
  <c r="J25" i="58" s="1"/>
  <c r="AA24" i="58"/>
  <c r="M24" i="58"/>
  <c r="AA23" i="58"/>
  <c r="AC23" i="58" s="1"/>
  <c r="N23" i="58"/>
  <c r="M23" i="58"/>
  <c r="AC22" i="58"/>
  <c r="N22" i="58" s="1"/>
  <c r="AA22" i="58"/>
  <c r="M22" i="58"/>
  <c r="AA21" i="58"/>
  <c r="AC21" i="58" s="1"/>
  <c r="N21" i="58"/>
  <c r="M21" i="58"/>
  <c r="AH20" i="58"/>
  <c r="X20" i="58" s="1"/>
  <c r="Y20" i="58" s="1"/>
  <c r="AG20" i="58" s="1"/>
  <c r="AC20" i="58"/>
  <c r="N20" i="58" s="1"/>
  <c r="AA20" i="58"/>
  <c r="M20" i="58"/>
  <c r="AC19" i="58"/>
  <c r="N19" i="58" s="1"/>
  <c r="AA19" i="58"/>
  <c r="M19" i="58"/>
  <c r="AH18" i="58"/>
  <c r="X18" i="58" s="1"/>
  <c r="Y18" i="58" s="1"/>
  <c r="AG18" i="58" s="1"/>
  <c r="AC18" i="58"/>
  <c r="N18" i="58" s="1"/>
  <c r="AA18" i="58"/>
  <c r="M18" i="58"/>
  <c r="AC17" i="58"/>
  <c r="N17" i="58" s="1"/>
  <c r="AA17" i="58"/>
  <c r="M17" i="58"/>
  <c r="AH16" i="58"/>
  <c r="X16" i="58" s="1"/>
  <c r="Y16" i="58" s="1"/>
  <c r="AG16" i="58" s="1"/>
  <c r="AC16" i="58"/>
  <c r="N16" i="58" s="1"/>
  <c r="AA16" i="58"/>
  <c r="M16" i="58"/>
  <c r="AC15" i="58"/>
  <c r="N15" i="58" s="1"/>
  <c r="AA15" i="58"/>
  <c r="M15" i="58"/>
  <c r="AH14" i="58"/>
  <c r="X14" i="58" s="1"/>
  <c r="Y14" i="58" s="1"/>
  <c r="AG14" i="58" s="1"/>
  <c r="AA14" i="58"/>
  <c r="AC14" i="58" s="1"/>
  <c r="N14" i="58" s="1"/>
  <c r="M14" i="58"/>
  <c r="AC13" i="58"/>
  <c r="N13" i="58" s="1"/>
  <c r="AA13" i="58"/>
  <c r="M13" i="58"/>
  <c r="AA12" i="58"/>
  <c r="AC12" i="58" s="1"/>
  <c r="N12" i="58"/>
  <c r="M12" i="58"/>
  <c r="AC11" i="58"/>
  <c r="N11" i="58" s="1"/>
  <c r="AA11" i="58"/>
  <c r="M11" i="58"/>
  <c r="AA10" i="58"/>
  <c r="AC10" i="58" s="1"/>
  <c r="N10" i="58"/>
  <c r="M10" i="58"/>
  <c r="AG9" i="58"/>
  <c r="AB9" i="58"/>
  <c r="AH9" i="58" s="1"/>
  <c r="AL2" i="58" s="1"/>
  <c r="AH21" i="58" s="1"/>
  <c r="X21" i="58" s="1"/>
  <c r="Y21" i="58" s="1"/>
  <c r="AG21" i="58" s="1"/>
  <c r="AA9" i="58"/>
  <c r="L9" i="58"/>
  <c r="K9" i="58"/>
  <c r="M8" i="58"/>
  <c r="L8" i="58"/>
  <c r="L6" i="58"/>
  <c r="L4" i="58"/>
  <c r="L2" i="58"/>
  <c r="J2" i="58"/>
  <c r="D2" i="58"/>
  <c r="J1" i="58"/>
  <c r="D1" i="58"/>
  <c r="H47" i="24"/>
  <c r="H25" i="24"/>
  <c r="K9" i="24"/>
  <c r="B13" i="57"/>
  <c r="B27" i="57"/>
  <c r="B47" i="57"/>
  <c r="F61" i="57"/>
  <c r="E61" i="57"/>
  <c r="B61" i="57"/>
  <c r="E60" i="57"/>
  <c r="B60" i="57"/>
  <c r="B56" i="57"/>
  <c r="E52" i="57"/>
  <c r="F52" i="57" s="1"/>
  <c r="B52" i="57"/>
  <c r="E51" i="57"/>
  <c r="B51" i="57"/>
  <c r="D39" i="57"/>
  <c r="D38" i="57"/>
  <c r="D37" i="57"/>
  <c r="D36" i="57"/>
  <c r="D35" i="57"/>
  <c r="D34" i="57"/>
  <c r="D33" i="57"/>
  <c r="D32" i="57"/>
  <c r="D31" i="57"/>
  <c r="E31" i="57" s="1"/>
  <c r="F31" i="57" s="1"/>
  <c r="D25" i="57"/>
  <c r="D24" i="57"/>
  <c r="D23" i="57"/>
  <c r="D22" i="57"/>
  <c r="D21" i="57"/>
  <c r="D20" i="57"/>
  <c r="D19" i="57"/>
  <c r="D18" i="57"/>
  <c r="D17" i="57"/>
  <c r="H2" i="57"/>
  <c r="B2" i="57"/>
  <c r="H1" i="57"/>
  <c r="B1" i="57"/>
  <c r="L125" i="12" l="1"/>
  <c r="L126" i="12"/>
  <c r="N126" i="12"/>
  <c r="N125" i="12"/>
  <c r="N127" i="12" s="1"/>
  <c r="M118" i="12"/>
  <c r="M126" i="12" s="1"/>
  <c r="M116" i="12"/>
  <c r="N116" i="12"/>
  <c r="N118" i="12"/>
  <c r="L121" i="12"/>
  <c r="L122" i="12"/>
  <c r="AL2" i="59"/>
  <c r="X9" i="59"/>
  <c r="Y9" i="59" s="1"/>
  <c r="AL3" i="59"/>
  <c r="AC44" i="59"/>
  <c r="N44" i="59" s="1"/>
  <c r="AC43" i="59"/>
  <c r="N43" i="59" s="1"/>
  <c r="AC46" i="59"/>
  <c r="N46" i="59" s="1"/>
  <c r="AC45" i="59"/>
  <c r="N45" i="59" s="1"/>
  <c r="AC23" i="59"/>
  <c r="N23" i="59" s="1"/>
  <c r="AC24" i="59"/>
  <c r="N24" i="59" s="1"/>
  <c r="J47" i="59"/>
  <c r="I47" i="59"/>
  <c r="J25" i="59"/>
  <c r="AC37" i="59"/>
  <c r="N37" i="59" s="1"/>
  <c r="AC42" i="59"/>
  <c r="N42" i="59" s="1"/>
  <c r="AC41" i="59"/>
  <c r="N41" i="59" s="1"/>
  <c r="AK51" i="59"/>
  <c r="X48" i="59"/>
  <c r="Y48" i="59" s="1"/>
  <c r="AC33" i="59"/>
  <c r="N33" i="59" s="1"/>
  <c r="AC35" i="59"/>
  <c r="N35" i="59" s="1"/>
  <c r="I52" i="59"/>
  <c r="Q21" i="58"/>
  <c r="AC37" i="58"/>
  <c r="N37" i="58" s="1"/>
  <c r="AC38" i="58"/>
  <c r="N38" i="58" s="1"/>
  <c r="AC41" i="58"/>
  <c r="N41" i="58" s="1"/>
  <c r="AC42" i="58"/>
  <c r="N42" i="58" s="1"/>
  <c r="AC45" i="58"/>
  <c r="N45" i="58" s="1"/>
  <c r="AC46" i="58"/>
  <c r="N46" i="58" s="1"/>
  <c r="AL3" i="58"/>
  <c r="AG31" i="58"/>
  <c r="AB31" i="58"/>
  <c r="AH31" i="58" s="1"/>
  <c r="AC32" i="58"/>
  <c r="N32" i="58" s="1"/>
  <c r="AC35" i="58"/>
  <c r="N35" i="58" s="1"/>
  <c r="AC36" i="58"/>
  <c r="N36" i="58" s="1"/>
  <c r="AC39" i="58"/>
  <c r="N39" i="58" s="1"/>
  <c r="AC40" i="58"/>
  <c r="N40" i="58" s="1"/>
  <c r="AC43" i="58"/>
  <c r="N43" i="58" s="1"/>
  <c r="AC44" i="58"/>
  <c r="N44" i="58" s="1"/>
  <c r="AC33" i="58"/>
  <c r="N33" i="58" s="1"/>
  <c r="AC34" i="58"/>
  <c r="N34" i="58" s="1"/>
  <c r="AH25" i="58"/>
  <c r="X25" i="58" s="1"/>
  <c r="Y25" i="58" s="1"/>
  <c r="AG25" i="58" s="1"/>
  <c r="Q25" i="58" s="1"/>
  <c r="AH24" i="58"/>
  <c r="X24" i="58" s="1"/>
  <c r="Y24" i="58" s="1"/>
  <c r="AG24" i="58" s="1"/>
  <c r="AH23" i="58"/>
  <c r="X23" i="58" s="1"/>
  <c r="Y23" i="58" s="1"/>
  <c r="AG23" i="58" s="1"/>
  <c r="AH22" i="58"/>
  <c r="X22" i="58" s="1"/>
  <c r="Y22" i="58" s="1"/>
  <c r="AG22" i="58" s="1"/>
  <c r="Q22" i="58" s="1"/>
  <c r="AH13" i="58"/>
  <c r="X13" i="58" s="1"/>
  <c r="Y13" i="58" s="1"/>
  <c r="AG13" i="58" s="1"/>
  <c r="Q14" i="58" s="1"/>
  <c r="AH11" i="58"/>
  <c r="X11" i="58" s="1"/>
  <c r="Y11" i="58" s="1"/>
  <c r="AG11" i="58" s="1"/>
  <c r="AH19" i="58"/>
  <c r="X19" i="58" s="1"/>
  <c r="Y19" i="58" s="1"/>
  <c r="AG19" i="58" s="1"/>
  <c r="Q19" i="58" s="1"/>
  <c r="AH17" i="58"/>
  <c r="X17" i="58" s="1"/>
  <c r="Y17" i="58" s="1"/>
  <c r="AG17" i="58" s="1"/>
  <c r="Q17" i="58" s="1"/>
  <c r="AH15" i="58"/>
  <c r="X15" i="58" s="1"/>
  <c r="Y15" i="58" s="1"/>
  <c r="AG15" i="58" s="1"/>
  <c r="Q15" i="58" s="1"/>
  <c r="W15" i="58" s="1"/>
  <c r="C15" i="58" s="1"/>
  <c r="X9" i="58"/>
  <c r="Y9" i="58" s="1"/>
  <c r="AH10" i="58"/>
  <c r="X10" i="58" s="1"/>
  <c r="Y10" i="58" s="1"/>
  <c r="AG10" i="58" s="1"/>
  <c r="Q10" i="58" s="1"/>
  <c r="W10" i="58" s="1"/>
  <c r="C10" i="58" s="1"/>
  <c r="AH12" i="58"/>
  <c r="X12" i="58" s="1"/>
  <c r="Y12" i="58" s="1"/>
  <c r="AG12" i="58" s="1"/>
  <c r="Q12" i="58" s="1"/>
  <c r="AC24" i="58"/>
  <c r="N24" i="58" s="1"/>
  <c r="J52" i="58"/>
  <c r="I52" i="58"/>
  <c r="Q26" i="58"/>
  <c r="AK51" i="58"/>
  <c r="I47" i="58"/>
  <c r="AC25" i="58"/>
  <c r="N25" i="58" s="1"/>
  <c r="E20" i="57"/>
  <c r="F22" i="57" s="1"/>
  <c r="G22" i="57" s="1"/>
  <c r="E17" i="57"/>
  <c r="F17" i="57" s="1"/>
  <c r="G17" i="57" s="1"/>
  <c r="E23" i="57"/>
  <c r="F23" i="57" s="1"/>
  <c r="F32" i="57"/>
  <c r="F33" i="57"/>
  <c r="H33" i="57" s="1"/>
  <c r="F18" i="57"/>
  <c r="H18" i="57" s="1"/>
  <c r="E34" i="57"/>
  <c r="F35" i="57" s="1"/>
  <c r="H35" i="57" s="1"/>
  <c r="G32" i="57"/>
  <c r="H52" i="57"/>
  <c r="G52" i="57"/>
  <c r="H32" i="57"/>
  <c r="H31" i="57"/>
  <c r="H17" i="57"/>
  <c r="G31" i="57"/>
  <c r="G33" i="57"/>
  <c r="E37" i="57"/>
  <c r="F38" i="57" s="1"/>
  <c r="H61" i="57"/>
  <c r="G61" i="57"/>
  <c r="F45" i="1"/>
  <c r="H47" i="55"/>
  <c r="G47" i="55"/>
  <c r="F47" i="55"/>
  <c r="E47" i="55"/>
  <c r="H46" i="55"/>
  <c r="G46" i="55"/>
  <c r="F46" i="55"/>
  <c r="E46" i="55"/>
  <c r="H45" i="55"/>
  <c r="G45" i="55"/>
  <c r="F45" i="55"/>
  <c r="E45" i="55"/>
  <c r="H44" i="55"/>
  <c r="H48" i="55" s="1"/>
  <c r="G44" i="55"/>
  <c r="G48" i="55" s="1"/>
  <c r="F44" i="55"/>
  <c r="F48" i="55" s="1"/>
  <c r="E44" i="55"/>
  <c r="E48" i="55" s="1"/>
  <c r="H35" i="55"/>
  <c r="G35" i="55"/>
  <c r="F35" i="55"/>
  <c r="E35" i="55"/>
  <c r="K28" i="55"/>
  <c r="K27" i="55"/>
  <c r="K26" i="55"/>
  <c r="K25" i="55"/>
  <c r="K24" i="55"/>
  <c r="K23" i="55"/>
  <c r="K22" i="55"/>
  <c r="K21" i="55"/>
  <c r="H19" i="55"/>
  <c r="G19" i="55"/>
  <c r="F19" i="55"/>
  <c r="E19" i="55"/>
  <c r="H16" i="55"/>
  <c r="G16" i="55"/>
  <c r="F16" i="55"/>
  <c r="E16" i="55"/>
  <c r="K9" i="55"/>
  <c r="K8" i="55"/>
  <c r="K6" i="55"/>
  <c r="K4" i="55"/>
  <c r="K2" i="55"/>
  <c r="H2" i="55"/>
  <c r="C2" i="55"/>
  <c r="H1" i="55"/>
  <c r="C1" i="55"/>
  <c r="H47" i="53"/>
  <c r="G47" i="53"/>
  <c r="F47" i="53"/>
  <c r="E47" i="53"/>
  <c r="H46" i="53"/>
  <c r="G46" i="53"/>
  <c r="F46" i="53"/>
  <c r="E46" i="53"/>
  <c r="H45" i="53"/>
  <c r="G45" i="53"/>
  <c r="F45" i="53"/>
  <c r="E45" i="53"/>
  <c r="H44" i="53"/>
  <c r="H48" i="53" s="1"/>
  <c r="G44" i="53"/>
  <c r="G48" i="53" s="1"/>
  <c r="F44" i="53"/>
  <c r="F48" i="53" s="1"/>
  <c r="E44" i="53"/>
  <c r="E48" i="53" s="1"/>
  <c r="H35" i="53"/>
  <c r="G35" i="53"/>
  <c r="F35" i="53"/>
  <c r="E35" i="53"/>
  <c r="K28" i="53"/>
  <c r="K27" i="53"/>
  <c r="K26" i="53"/>
  <c r="K25" i="53"/>
  <c r="K24" i="53"/>
  <c r="K23" i="53"/>
  <c r="K22" i="53"/>
  <c r="K21" i="53"/>
  <c r="H19" i="53"/>
  <c r="G19" i="53"/>
  <c r="F19" i="53"/>
  <c r="E19" i="53"/>
  <c r="H16" i="53"/>
  <c r="G16" i="53"/>
  <c r="F16" i="53"/>
  <c r="E16" i="53"/>
  <c r="K9" i="53"/>
  <c r="K8" i="53"/>
  <c r="K6" i="53"/>
  <c r="K4" i="53"/>
  <c r="K2" i="53"/>
  <c r="H2" i="53"/>
  <c r="C2" i="53"/>
  <c r="H1" i="53"/>
  <c r="C1" i="53"/>
  <c r="D44" i="11"/>
  <c r="D45" i="11"/>
  <c r="D46" i="11"/>
  <c r="D43" i="11"/>
  <c r="M121" i="12" l="1"/>
  <c r="M122" i="12"/>
  <c r="L123" i="12"/>
  <c r="M125" i="12"/>
  <c r="M127" i="12" s="1"/>
  <c r="N122" i="12"/>
  <c r="N121" i="12"/>
  <c r="N123" i="12" s="1"/>
  <c r="L127" i="12"/>
  <c r="AH45" i="59"/>
  <c r="X45" i="59" s="1"/>
  <c r="Y45" i="59" s="1"/>
  <c r="AG45" i="59" s="1"/>
  <c r="AH43" i="59"/>
  <c r="X43" i="59" s="1"/>
  <c r="Y43" i="59" s="1"/>
  <c r="AG43" i="59" s="1"/>
  <c r="AH46" i="59"/>
  <c r="X46" i="59" s="1"/>
  <c r="Y46" i="59" s="1"/>
  <c r="AG46" i="59" s="1"/>
  <c r="Q46" i="59" s="1"/>
  <c r="AH44" i="59"/>
  <c r="X44" i="59" s="1"/>
  <c r="Y44" i="59" s="1"/>
  <c r="AG44" i="59" s="1"/>
  <c r="Q44" i="59" s="1"/>
  <c r="AH42" i="59"/>
  <c r="X42" i="59" s="1"/>
  <c r="Y42" i="59" s="1"/>
  <c r="AG42" i="59" s="1"/>
  <c r="AH40" i="59"/>
  <c r="X40" i="59" s="1"/>
  <c r="Y40" i="59" s="1"/>
  <c r="AG40" i="59" s="1"/>
  <c r="AH38" i="59"/>
  <c r="X38" i="59" s="1"/>
  <c r="Y38" i="59" s="1"/>
  <c r="AG38" i="59" s="1"/>
  <c r="Q38" i="59" s="1"/>
  <c r="AH36" i="59"/>
  <c r="X36" i="59" s="1"/>
  <c r="Y36" i="59" s="1"/>
  <c r="AG36" i="59" s="1"/>
  <c r="Q36" i="59" s="1"/>
  <c r="AH34" i="59"/>
  <c r="X34" i="59" s="1"/>
  <c r="Y34" i="59" s="1"/>
  <c r="AG34" i="59" s="1"/>
  <c r="AH32" i="59"/>
  <c r="X32" i="59" s="1"/>
  <c r="Y32" i="59" s="1"/>
  <c r="AG32" i="59" s="1"/>
  <c r="Q32" i="59" s="1"/>
  <c r="AH41" i="59"/>
  <c r="X41" i="59" s="1"/>
  <c r="Y41" i="59" s="1"/>
  <c r="AG41" i="59" s="1"/>
  <c r="Q41" i="59" s="1"/>
  <c r="AH39" i="59"/>
  <c r="X39" i="59" s="1"/>
  <c r="Y39" i="59" s="1"/>
  <c r="AG39" i="59" s="1"/>
  <c r="Q39" i="59" s="1"/>
  <c r="AH37" i="59"/>
  <c r="X37" i="59" s="1"/>
  <c r="Y37" i="59" s="1"/>
  <c r="AG37" i="59" s="1"/>
  <c r="AH35" i="59"/>
  <c r="X35" i="59" s="1"/>
  <c r="Y35" i="59" s="1"/>
  <c r="AG35" i="59" s="1"/>
  <c r="Q35" i="59" s="1"/>
  <c r="AH33" i="59"/>
  <c r="X33" i="59" s="1"/>
  <c r="Y33" i="59" s="1"/>
  <c r="AG33" i="59" s="1"/>
  <c r="Q33" i="59" s="1"/>
  <c r="AH47" i="59"/>
  <c r="X47" i="59" s="1"/>
  <c r="Y47" i="59" s="1"/>
  <c r="AG47" i="59" s="1"/>
  <c r="W35" i="59"/>
  <c r="C35" i="59" s="1"/>
  <c r="AH25" i="59"/>
  <c r="X25" i="59" s="1"/>
  <c r="Y25" i="59" s="1"/>
  <c r="AG25" i="59" s="1"/>
  <c r="AH24" i="59"/>
  <c r="X24" i="59" s="1"/>
  <c r="Y24" i="59" s="1"/>
  <c r="AG24" i="59" s="1"/>
  <c r="AH23" i="59"/>
  <c r="X23" i="59" s="1"/>
  <c r="Y23" i="59" s="1"/>
  <c r="AG23" i="59" s="1"/>
  <c r="AH22" i="59"/>
  <c r="X22" i="59" s="1"/>
  <c r="Y22" i="59" s="1"/>
  <c r="AG22" i="59" s="1"/>
  <c r="Q22" i="59" s="1"/>
  <c r="AH20" i="59"/>
  <c r="X20" i="59" s="1"/>
  <c r="Y20" i="59" s="1"/>
  <c r="AG20" i="59" s="1"/>
  <c r="AH18" i="59"/>
  <c r="X18" i="59" s="1"/>
  <c r="Y18" i="59" s="1"/>
  <c r="AG18" i="59" s="1"/>
  <c r="AH16" i="59"/>
  <c r="X16" i="59" s="1"/>
  <c r="Y16" i="59" s="1"/>
  <c r="AG16" i="59" s="1"/>
  <c r="Q16" i="59" s="1"/>
  <c r="AH14" i="59"/>
  <c r="X14" i="59" s="1"/>
  <c r="Y14" i="59" s="1"/>
  <c r="AG14" i="59" s="1"/>
  <c r="Q14" i="59" s="1"/>
  <c r="AH10" i="59"/>
  <c r="X10" i="59" s="1"/>
  <c r="Y10" i="59" s="1"/>
  <c r="AG10" i="59" s="1"/>
  <c r="Q10" i="59" s="1"/>
  <c r="AH21" i="59"/>
  <c r="X21" i="59" s="1"/>
  <c r="Y21" i="59" s="1"/>
  <c r="AG21" i="59" s="1"/>
  <c r="AH19" i="59"/>
  <c r="X19" i="59" s="1"/>
  <c r="Y19" i="59" s="1"/>
  <c r="AG19" i="59" s="1"/>
  <c r="Q19" i="59" s="1"/>
  <c r="AH17" i="59"/>
  <c r="X17" i="59" s="1"/>
  <c r="Y17" i="59" s="1"/>
  <c r="AG17" i="59" s="1"/>
  <c r="Q17" i="59" s="1"/>
  <c r="AH15" i="59"/>
  <c r="X15" i="59" s="1"/>
  <c r="Y15" i="59" s="1"/>
  <c r="AG15" i="59" s="1"/>
  <c r="AH13" i="59"/>
  <c r="X13" i="59" s="1"/>
  <c r="Y13" i="59" s="1"/>
  <c r="AG13" i="59" s="1"/>
  <c r="AH11" i="59"/>
  <c r="X11" i="59" s="1"/>
  <c r="Y11" i="59" s="1"/>
  <c r="AG11" i="59" s="1"/>
  <c r="Q11" i="59" s="1"/>
  <c r="AH12" i="59"/>
  <c r="X12" i="59" s="1"/>
  <c r="Y12" i="59" s="1"/>
  <c r="AG12" i="59" s="1"/>
  <c r="Q12" i="59" s="1"/>
  <c r="P14" i="58"/>
  <c r="S14" i="58"/>
  <c r="O14" i="58"/>
  <c r="U14" i="58" s="1"/>
  <c r="R14" i="58"/>
  <c r="W14" i="58"/>
  <c r="C14" i="58" s="1"/>
  <c r="W25" i="58"/>
  <c r="C25" i="58" s="1"/>
  <c r="AH46" i="58"/>
  <c r="X46" i="58" s="1"/>
  <c r="Y46" i="58" s="1"/>
  <c r="AG46" i="58" s="1"/>
  <c r="AH44" i="58"/>
  <c r="X44" i="58" s="1"/>
  <c r="Y44" i="58" s="1"/>
  <c r="AG44" i="58" s="1"/>
  <c r="AH42" i="58"/>
  <c r="X42" i="58" s="1"/>
  <c r="Y42" i="58" s="1"/>
  <c r="AG42" i="58" s="1"/>
  <c r="AH40" i="58"/>
  <c r="X40" i="58" s="1"/>
  <c r="Y40" i="58" s="1"/>
  <c r="AG40" i="58" s="1"/>
  <c r="AH38" i="58"/>
  <c r="X38" i="58" s="1"/>
  <c r="Y38" i="58" s="1"/>
  <c r="AG38" i="58" s="1"/>
  <c r="AH36" i="58"/>
  <c r="X36" i="58" s="1"/>
  <c r="Y36" i="58" s="1"/>
  <c r="AG36" i="58" s="1"/>
  <c r="AH34" i="58"/>
  <c r="X34" i="58" s="1"/>
  <c r="Y34" i="58" s="1"/>
  <c r="AG34" i="58" s="1"/>
  <c r="AH32" i="58"/>
  <c r="X32" i="58" s="1"/>
  <c r="Y32" i="58" s="1"/>
  <c r="AG32" i="58" s="1"/>
  <c r="Q32" i="58" s="1"/>
  <c r="AH47" i="58"/>
  <c r="X47" i="58" s="1"/>
  <c r="Y47" i="58" s="1"/>
  <c r="AG47" i="58" s="1"/>
  <c r="AH45" i="58"/>
  <c r="X45" i="58" s="1"/>
  <c r="Y45" i="58" s="1"/>
  <c r="AG45" i="58" s="1"/>
  <c r="Q45" i="58" s="1"/>
  <c r="AH43" i="58"/>
  <c r="X43" i="58" s="1"/>
  <c r="Y43" i="58" s="1"/>
  <c r="AG43" i="58" s="1"/>
  <c r="Q43" i="58" s="1"/>
  <c r="AH41" i="58"/>
  <c r="X41" i="58" s="1"/>
  <c r="Y41" i="58" s="1"/>
  <c r="AG41" i="58" s="1"/>
  <c r="Q41" i="58" s="1"/>
  <c r="AH39" i="58"/>
  <c r="X39" i="58" s="1"/>
  <c r="Y39" i="58" s="1"/>
  <c r="AG39" i="58" s="1"/>
  <c r="Q39" i="58" s="1"/>
  <c r="AH37" i="58"/>
  <c r="X37" i="58" s="1"/>
  <c r="Y37" i="58" s="1"/>
  <c r="AG37" i="58" s="1"/>
  <c r="Q37" i="58" s="1"/>
  <c r="AH35" i="58"/>
  <c r="X35" i="58" s="1"/>
  <c r="Y35" i="58" s="1"/>
  <c r="AG35" i="58" s="1"/>
  <c r="Q35" i="58" s="1"/>
  <c r="AH33" i="58"/>
  <c r="X33" i="58" s="1"/>
  <c r="Y33" i="58" s="1"/>
  <c r="AG33" i="58" s="1"/>
  <c r="Q33" i="58" s="1"/>
  <c r="P26" i="58"/>
  <c r="O26" i="58"/>
  <c r="U26" i="58" s="1"/>
  <c r="S26" i="58"/>
  <c r="R26" i="58"/>
  <c r="R22" i="58"/>
  <c r="O22" i="58"/>
  <c r="U22" i="58" s="1"/>
  <c r="S22" i="58"/>
  <c r="P22" i="58"/>
  <c r="W32" i="58"/>
  <c r="C32" i="58" s="1"/>
  <c r="W26" i="58"/>
  <c r="C26" i="58" s="1"/>
  <c r="P17" i="58"/>
  <c r="O17" i="58"/>
  <c r="R17" i="58"/>
  <c r="S17" i="58"/>
  <c r="P19" i="58"/>
  <c r="O19" i="58"/>
  <c r="S19" i="58"/>
  <c r="R19" i="58"/>
  <c r="Q23" i="58"/>
  <c r="W33" i="58"/>
  <c r="C33" i="58" s="1"/>
  <c r="W39" i="58"/>
  <c r="C39" i="58" s="1"/>
  <c r="AK52" i="58"/>
  <c r="X31" i="58"/>
  <c r="Y31" i="58" s="1"/>
  <c r="W17" i="58"/>
  <c r="C17" i="58" s="1"/>
  <c r="W41" i="58"/>
  <c r="C41" i="58" s="1"/>
  <c r="P21" i="58"/>
  <c r="O21" i="58"/>
  <c r="S21" i="58"/>
  <c r="W21" i="58"/>
  <c r="C21" i="58" s="1"/>
  <c r="R21" i="58"/>
  <c r="W22" i="58"/>
  <c r="C22" i="58" s="1"/>
  <c r="P12" i="58"/>
  <c r="S12" i="58"/>
  <c r="O12" i="58"/>
  <c r="U12" i="58" s="1"/>
  <c r="R12" i="58"/>
  <c r="W19" i="58"/>
  <c r="C19" i="58" s="1"/>
  <c r="Q11" i="58"/>
  <c r="Q24" i="58"/>
  <c r="W12" i="58"/>
  <c r="C12" i="58" s="1"/>
  <c r="Q20" i="58"/>
  <c r="Q18" i="58"/>
  <c r="P10" i="58"/>
  <c r="S10" i="58"/>
  <c r="O10" i="58"/>
  <c r="R10" i="58"/>
  <c r="P15" i="58"/>
  <c r="O15" i="58"/>
  <c r="U15" i="58" s="1"/>
  <c r="S15" i="58"/>
  <c r="R15" i="58"/>
  <c r="Q13" i="58"/>
  <c r="P25" i="58"/>
  <c r="V25" i="58" s="1"/>
  <c r="O25" i="58"/>
  <c r="U25" i="58" s="1"/>
  <c r="R25" i="58"/>
  <c r="S25" i="58"/>
  <c r="W43" i="58"/>
  <c r="C43" i="58" s="1"/>
  <c r="W35" i="58"/>
  <c r="C35" i="58" s="1"/>
  <c r="W45" i="58"/>
  <c r="C45" i="58" s="1"/>
  <c r="W37" i="58"/>
  <c r="C37" i="58" s="1"/>
  <c r="Q16" i="58"/>
  <c r="F25" i="57"/>
  <c r="H25" i="57" s="1"/>
  <c r="H22" i="57"/>
  <c r="F21" i="57"/>
  <c r="H21" i="57" s="1"/>
  <c r="F20" i="57"/>
  <c r="H20" i="57" s="1"/>
  <c r="F24" i="57"/>
  <c r="H24" i="57" s="1"/>
  <c r="H23" i="57"/>
  <c r="G23" i="57"/>
  <c r="G18" i="57"/>
  <c r="F19" i="57"/>
  <c r="F36" i="57"/>
  <c r="G35" i="57"/>
  <c r="F34" i="57"/>
  <c r="H38" i="57"/>
  <c r="G38" i="57"/>
  <c r="G25" i="57"/>
  <c r="F37" i="57"/>
  <c r="F39" i="57"/>
  <c r="H51" i="55"/>
  <c r="I56" i="55" s="1"/>
  <c r="G51" i="55"/>
  <c r="E51" i="55"/>
  <c r="F51" i="55"/>
  <c r="G51" i="53"/>
  <c r="H51" i="53"/>
  <c r="I56" i="53" s="1"/>
  <c r="F51" i="53"/>
  <c r="E51" i="53"/>
  <c r="B1" i="44"/>
  <c r="J2" i="44"/>
  <c r="J1" i="44"/>
  <c r="B2" i="44"/>
  <c r="M123" i="12" l="1"/>
  <c r="P17" i="59"/>
  <c r="S17" i="59"/>
  <c r="O17" i="59"/>
  <c r="U17" i="59" s="1"/>
  <c r="R17" i="59"/>
  <c r="W17" i="59"/>
  <c r="C17" i="59" s="1"/>
  <c r="Q47" i="59"/>
  <c r="Q48" i="59"/>
  <c r="S44" i="59"/>
  <c r="O44" i="59"/>
  <c r="R44" i="59"/>
  <c r="P44" i="59"/>
  <c r="P19" i="59"/>
  <c r="S19" i="59"/>
  <c r="O19" i="59"/>
  <c r="U19" i="59" s="1"/>
  <c r="R19" i="59"/>
  <c r="W19" i="59"/>
  <c r="C19" i="59" s="1"/>
  <c r="S33" i="59"/>
  <c r="O33" i="59"/>
  <c r="U33" i="59" s="1"/>
  <c r="P33" i="59"/>
  <c r="R33" i="59"/>
  <c r="P41" i="59"/>
  <c r="S41" i="59"/>
  <c r="O41" i="59"/>
  <c r="R41" i="59"/>
  <c r="S46" i="59"/>
  <c r="O46" i="59"/>
  <c r="U46" i="59" s="1"/>
  <c r="R46" i="59"/>
  <c r="P46" i="59"/>
  <c r="P12" i="59"/>
  <c r="S12" i="59"/>
  <c r="O12" i="59"/>
  <c r="R12" i="59"/>
  <c r="W12" i="59"/>
  <c r="C12" i="59" s="1"/>
  <c r="P14" i="59"/>
  <c r="S14" i="59"/>
  <c r="O14" i="59"/>
  <c r="U14" i="59" s="1"/>
  <c r="R14" i="59"/>
  <c r="W14" i="59"/>
  <c r="C14" i="59" s="1"/>
  <c r="P39" i="59"/>
  <c r="S39" i="59"/>
  <c r="O39" i="59"/>
  <c r="R39" i="59"/>
  <c r="W39" i="59"/>
  <c r="C39" i="59" s="1"/>
  <c r="R11" i="59"/>
  <c r="S11" i="59"/>
  <c r="O11" i="59"/>
  <c r="U11" i="59" s="1"/>
  <c r="P11" i="59"/>
  <c r="W11" i="59"/>
  <c r="C11" i="59" s="1"/>
  <c r="Q23" i="59"/>
  <c r="R38" i="59"/>
  <c r="P38" i="59"/>
  <c r="O38" i="59"/>
  <c r="U38" i="59" s="1"/>
  <c r="S38" i="59"/>
  <c r="W38" i="59"/>
  <c r="C38" i="59" s="1"/>
  <c r="Q13" i="59"/>
  <c r="Q21" i="59"/>
  <c r="Q18" i="59"/>
  <c r="Q24" i="59"/>
  <c r="W41" i="59"/>
  <c r="C41" i="59" s="1"/>
  <c r="S35" i="59"/>
  <c r="O35" i="59"/>
  <c r="P35" i="59"/>
  <c r="R35" i="59"/>
  <c r="R32" i="59"/>
  <c r="P32" i="59"/>
  <c r="S32" i="59"/>
  <c r="O32" i="59"/>
  <c r="W32" i="59"/>
  <c r="C32" i="59" s="1"/>
  <c r="Q40" i="59"/>
  <c r="Q43" i="59"/>
  <c r="R22" i="59"/>
  <c r="S22" i="59"/>
  <c r="P22" i="59"/>
  <c r="O22" i="59"/>
  <c r="W22" i="59"/>
  <c r="C22" i="59" s="1"/>
  <c r="R36" i="59"/>
  <c r="P36" i="59"/>
  <c r="O36" i="59"/>
  <c r="U36" i="59" s="1"/>
  <c r="S36" i="59"/>
  <c r="W36" i="59"/>
  <c r="C36" i="59" s="1"/>
  <c r="R16" i="59"/>
  <c r="S16" i="59"/>
  <c r="P16" i="59"/>
  <c r="O16" i="59"/>
  <c r="U16" i="59" s="1"/>
  <c r="W16" i="59"/>
  <c r="C16" i="59" s="1"/>
  <c r="Q15" i="59"/>
  <c r="P10" i="59"/>
  <c r="S10" i="59"/>
  <c r="O10" i="59"/>
  <c r="R10" i="59"/>
  <c r="W10" i="59"/>
  <c r="C10" i="59" s="1"/>
  <c r="Q20" i="59"/>
  <c r="Q25" i="59"/>
  <c r="Q26" i="59"/>
  <c r="W33" i="59"/>
  <c r="C33" i="59" s="1"/>
  <c r="W44" i="59"/>
  <c r="C44" i="59" s="1"/>
  <c r="W46" i="59"/>
  <c r="C46" i="59" s="1"/>
  <c r="Q37" i="59"/>
  <c r="Q34" i="59"/>
  <c r="Q42" i="59"/>
  <c r="Q45" i="59"/>
  <c r="U21" i="58"/>
  <c r="U19" i="58"/>
  <c r="U17" i="58"/>
  <c r="P35" i="58"/>
  <c r="S35" i="58"/>
  <c r="O35" i="58"/>
  <c r="U35" i="58" s="1"/>
  <c r="R35" i="58"/>
  <c r="P43" i="58"/>
  <c r="S43" i="58"/>
  <c r="O43" i="58"/>
  <c r="U43" i="58" s="1"/>
  <c r="R43" i="58"/>
  <c r="Q34" i="58"/>
  <c r="Q42" i="58"/>
  <c r="T25" i="58"/>
  <c r="R16" i="58"/>
  <c r="S16" i="58"/>
  <c r="P16" i="58"/>
  <c r="W16" i="58"/>
  <c r="C16" i="58" s="1"/>
  <c r="O16" i="58"/>
  <c r="U16" i="58" s="1"/>
  <c r="R13" i="58"/>
  <c r="P13" i="58"/>
  <c r="O13" i="58"/>
  <c r="U13" i="58" s="1"/>
  <c r="S13" i="58"/>
  <c r="W13" i="58"/>
  <c r="C13" i="58" s="1"/>
  <c r="T15" i="58"/>
  <c r="V15" i="58"/>
  <c r="V10" i="58"/>
  <c r="T10" i="58"/>
  <c r="P24" i="58"/>
  <c r="O24" i="58"/>
  <c r="U24" i="58" s="1"/>
  <c r="S24" i="58"/>
  <c r="R24" i="58"/>
  <c r="R18" i="58"/>
  <c r="S18" i="58"/>
  <c r="W18" i="58"/>
  <c r="C18" i="58" s="1"/>
  <c r="P18" i="58"/>
  <c r="O18" i="58"/>
  <c r="R11" i="58"/>
  <c r="P11" i="58"/>
  <c r="O11" i="58"/>
  <c r="U11" i="58" s="1"/>
  <c r="S11" i="58"/>
  <c r="W11" i="58"/>
  <c r="C11" i="58" s="1"/>
  <c r="V21" i="58"/>
  <c r="T21" i="58"/>
  <c r="P23" i="58"/>
  <c r="S23" i="58"/>
  <c r="O23" i="58"/>
  <c r="R23" i="58"/>
  <c r="W23" i="58"/>
  <c r="C23" i="58" s="1"/>
  <c r="V19" i="58"/>
  <c r="T19" i="58"/>
  <c r="T17" i="58"/>
  <c r="V17" i="58"/>
  <c r="P37" i="58"/>
  <c r="S37" i="58"/>
  <c r="O37" i="58"/>
  <c r="U37" i="58" s="1"/>
  <c r="R37" i="58"/>
  <c r="P45" i="58"/>
  <c r="S45" i="58"/>
  <c r="O45" i="58"/>
  <c r="U45" i="58" s="1"/>
  <c r="R45" i="58"/>
  <c r="Q36" i="58"/>
  <c r="Q44" i="58"/>
  <c r="U10" i="58"/>
  <c r="R20" i="58"/>
  <c r="S20" i="58"/>
  <c r="W20" i="58"/>
  <c r="C20" i="58" s="1"/>
  <c r="P20" i="58"/>
  <c r="O20" i="58"/>
  <c r="V12" i="58"/>
  <c r="T12" i="58"/>
  <c r="W24" i="58"/>
  <c r="C24" i="58" s="1"/>
  <c r="T26" i="58"/>
  <c r="V26" i="58"/>
  <c r="P39" i="58"/>
  <c r="S39" i="58"/>
  <c r="O39" i="58"/>
  <c r="R39" i="58"/>
  <c r="Q47" i="58"/>
  <c r="Q48" i="58"/>
  <c r="Q38" i="58"/>
  <c r="Q46" i="58"/>
  <c r="T22" i="58"/>
  <c r="V22" i="58"/>
  <c r="P33" i="58"/>
  <c r="S33" i="58"/>
  <c r="O33" i="58"/>
  <c r="R33" i="58"/>
  <c r="P41" i="58"/>
  <c r="S41" i="58"/>
  <c r="O41" i="58"/>
  <c r="R41" i="58"/>
  <c r="R32" i="58"/>
  <c r="S32" i="58"/>
  <c r="O32" i="58"/>
  <c r="U32" i="58" s="1"/>
  <c r="P32" i="58"/>
  <c r="Q40" i="58"/>
  <c r="V14" i="58"/>
  <c r="T14" i="58"/>
  <c r="G24" i="57"/>
  <c r="G21" i="57"/>
  <c r="G20" i="57"/>
  <c r="G19" i="57"/>
  <c r="H19" i="57"/>
  <c r="H34" i="57"/>
  <c r="G34" i="57"/>
  <c r="G36" i="57"/>
  <c r="H36" i="57"/>
  <c r="H37" i="57"/>
  <c r="G37" i="57"/>
  <c r="G39" i="57"/>
  <c r="H39" i="57"/>
  <c r="I68" i="57" l="1"/>
  <c r="S42" i="59"/>
  <c r="R42" i="59"/>
  <c r="P42" i="59"/>
  <c r="O42" i="59"/>
  <c r="U42" i="59" s="1"/>
  <c r="W42" i="59"/>
  <c r="C42" i="59" s="1"/>
  <c r="R20" i="59"/>
  <c r="S20" i="59"/>
  <c r="P20" i="59"/>
  <c r="O20" i="59"/>
  <c r="U20" i="59" s="1"/>
  <c r="W20" i="59"/>
  <c r="C20" i="59" s="1"/>
  <c r="P21" i="59"/>
  <c r="S21" i="59"/>
  <c r="O21" i="59"/>
  <c r="R21" i="59"/>
  <c r="W21" i="59"/>
  <c r="C21" i="59" s="1"/>
  <c r="T46" i="59"/>
  <c r="V46" i="59"/>
  <c r="T19" i="59"/>
  <c r="V19" i="59"/>
  <c r="R34" i="59"/>
  <c r="P34" i="59"/>
  <c r="O34" i="59"/>
  <c r="S34" i="59"/>
  <c r="W34" i="59"/>
  <c r="C34" i="59" s="1"/>
  <c r="T10" i="59"/>
  <c r="V10" i="59"/>
  <c r="V16" i="59"/>
  <c r="T16" i="59"/>
  <c r="U32" i="59"/>
  <c r="R13" i="59"/>
  <c r="S13" i="59"/>
  <c r="P13" i="59"/>
  <c r="O13" i="59"/>
  <c r="U13" i="59" s="1"/>
  <c r="W13" i="59"/>
  <c r="C13" i="59" s="1"/>
  <c r="T38" i="59"/>
  <c r="V38" i="59"/>
  <c r="V11" i="59"/>
  <c r="T11" i="59"/>
  <c r="V39" i="59"/>
  <c r="T39" i="59"/>
  <c r="U12" i="59"/>
  <c r="U41" i="59"/>
  <c r="V33" i="59"/>
  <c r="T33" i="59"/>
  <c r="T44" i="59"/>
  <c r="V44" i="59"/>
  <c r="P48" i="59"/>
  <c r="S48" i="59"/>
  <c r="O48" i="59"/>
  <c r="R48" i="59"/>
  <c r="W48" i="59"/>
  <c r="C48" i="59" s="1"/>
  <c r="P26" i="59"/>
  <c r="O26" i="59"/>
  <c r="U26" i="59" s="1"/>
  <c r="S26" i="59"/>
  <c r="R26" i="59"/>
  <c r="W26" i="59"/>
  <c r="C26" i="59" s="1"/>
  <c r="P15" i="59"/>
  <c r="S15" i="59"/>
  <c r="O15" i="59"/>
  <c r="R15" i="59"/>
  <c r="W15" i="59"/>
  <c r="C15" i="59" s="1"/>
  <c r="U22" i="59"/>
  <c r="P24" i="59"/>
  <c r="O24" i="59"/>
  <c r="U24" i="59" s="1"/>
  <c r="R24" i="59"/>
  <c r="S24" i="59"/>
  <c r="W24" i="59"/>
  <c r="C24" i="59" s="1"/>
  <c r="V14" i="59"/>
  <c r="T14" i="59"/>
  <c r="P47" i="59"/>
  <c r="S47" i="59"/>
  <c r="O47" i="59"/>
  <c r="U47" i="59" s="1"/>
  <c r="R47" i="59"/>
  <c r="W47" i="59"/>
  <c r="C47" i="59" s="1"/>
  <c r="S37" i="59"/>
  <c r="O37" i="59"/>
  <c r="U37" i="59" s="1"/>
  <c r="P37" i="59"/>
  <c r="R37" i="59"/>
  <c r="W37" i="59"/>
  <c r="C37" i="59" s="1"/>
  <c r="P43" i="59"/>
  <c r="S43" i="59"/>
  <c r="O43" i="59"/>
  <c r="R43" i="59"/>
  <c r="W43" i="59"/>
  <c r="C43" i="59" s="1"/>
  <c r="V35" i="59"/>
  <c r="T35" i="59"/>
  <c r="P45" i="59"/>
  <c r="S45" i="59"/>
  <c r="O45" i="59"/>
  <c r="R45" i="59"/>
  <c r="W45" i="59"/>
  <c r="C45" i="59" s="1"/>
  <c r="P25" i="59"/>
  <c r="O25" i="59"/>
  <c r="U25" i="59" s="1"/>
  <c r="S25" i="59"/>
  <c r="R25" i="59"/>
  <c r="W25" i="59"/>
  <c r="C25" i="59" s="1"/>
  <c r="U10" i="59"/>
  <c r="T36" i="59"/>
  <c r="V36" i="59"/>
  <c r="T22" i="59"/>
  <c r="V22" i="59"/>
  <c r="R40" i="59"/>
  <c r="P40" i="59"/>
  <c r="O40" i="59"/>
  <c r="U40" i="59" s="1"/>
  <c r="S40" i="59"/>
  <c r="W40" i="59"/>
  <c r="C40" i="59" s="1"/>
  <c r="V32" i="59"/>
  <c r="T32" i="59"/>
  <c r="U35" i="59"/>
  <c r="R18" i="59"/>
  <c r="S18" i="59"/>
  <c r="P18" i="59"/>
  <c r="O18" i="59"/>
  <c r="U18" i="59" s="1"/>
  <c r="W18" i="59"/>
  <c r="C18" i="59" s="1"/>
  <c r="P23" i="59"/>
  <c r="S23" i="59"/>
  <c r="O23" i="59"/>
  <c r="R23" i="59"/>
  <c r="W23" i="59"/>
  <c r="C23" i="59" s="1"/>
  <c r="U39" i="59"/>
  <c r="V12" i="59"/>
  <c r="T12" i="59"/>
  <c r="T41" i="59"/>
  <c r="V41" i="59"/>
  <c r="U44" i="59"/>
  <c r="V17" i="59"/>
  <c r="T17" i="59"/>
  <c r="S48" i="58"/>
  <c r="O48" i="58"/>
  <c r="U48" i="58" s="1"/>
  <c r="R48" i="58"/>
  <c r="P48" i="58"/>
  <c r="W48" i="58"/>
  <c r="C48" i="58" s="1"/>
  <c r="T20" i="58"/>
  <c r="V20" i="58"/>
  <c r="T18" i="58"/>
  <c r="V18" i="58"/>
  <c r="R34" i="58"/>
  <c r="S34" i="58"/>
  <c r="O34" i="58"/>
  <c r="U34" i="58" s="1"/>
  <c r="P34" i="58"/>
  <c r="W34" i="58"/>
  <c r="C34" i="58" s="1"/>
  <c r="T43" i="58"/>
  <c r="V43" i="58"/>
  <c r="V35" i="58"/>
  <c r="T35" i="58"/>
  <c r="U41" i="58"/>
  <c r="U33" i="58"/>
  <c r="S47" i="58"/>
  <c r="O47" i="58"/>
  <c r="U47" i="58" s="1"/>
  <c r="R47" i="58"/>
  <c r="P47" i="58"/>
  <c r="W47" i="58"/>
  <c r="C47" i="58" s="1"/>
  <c r="V39" i="58"/>
  <c r="T39" i="58"/>
  <c r="R44" i="58"/>
  <c r="S44" i="58"/>
  <c r="O44" i="58"/>
  <c r="U44" i="58" s="1"/>
  <c r="P44" i="58"/>
  <c r="W44" i="58"/>
  <c r="C44" i="58" s="1"/>
  <c r="U23" i="58"/>
  <c r="T11" i="58"/>
  <c r="T27" i="58" s="1"/>
  <c r="V11" i="58"/>
  <c r="V32" i="58"/>
  <c r="T32" i="58"/>
  <c r="R36" i="58"/>
  <c r="S36" i="58"/>
  <c r="O36" i="58"/>
  <c r="P36" i="58"/>
  <c r="W36" i="58"/>
  <c r="C36" i="58" s="1"/>
  <c r="V45" i="58"/>
  <c r="T45" i="58"/>
  <c r="T37" i="58"/>
  <c r="V37" i="58"/>
  <c r="R46" i="58"/>
  <c r="S46" i="58"/>
  <c r="O46" i="58"/>
  <c r="U46" i="58" s="1"/>
  <c r="P46" i="58"/>
  <c r="W46" i="58"/>
  <c r="C46" i="58" s="1"/>
  <c r="R40" i="58"/>
  <c r="S40" i="58"/>
  <c r="O40" i="58"/>
  <c r="U40" i="58" s="1"/>
  <c r="P40" i="58"/>
  <c r="W40" i="58"/>
  <c r="C40" i="58" s="1"/>
  <c r="T41" i="58"/>
  <c r="V41" i="58"/>
  <c r="V33" i="58"/>
  <c r="T33" i="58"/>
  <c r="R38" i="58"/>
  <c r="S38" i="58"/>
  <c r="O38" i="58"/>
  <c r="U38" i="58" s="1"/>
  <c r="P38" i="58"/>
  <c r="W38" i="58"/>
  <c r="C38" i="58" s="1"/>
  <c r="U39" i="58"/>
  <c r="U20" i="58"/>
  <c r="V23" i="58"/>
  <c r="T23" i="58"/>
  <c r="U18" i="58"/>
  <c r="U27" i="58" s="1"/>
  <c r="T24" i="58"/>
  <c r="V24" i="58"/>
  <c r="T13" i="58"/>
  <c r="V13" i="58"/>
  <c r="T16" i="58"/>
  <c r="V16" i="58"/>
  <c r="R42" i="58"/>
  <c r="S42" i="58"/>
  <c r="O42" i="58"/>
  <c r="U42" i="58" s="1"/>
  <c r="P42" i="58"/>
  <c r="W42" i="58"/>
  <c r="C42" i="58" s="1"/>
  <c r="H12" i="4"/>
  <c r="G36" i="4"/>
  <c r="H36" i="4"/>
  <c r="H34" i="4"/>
  <c r="G34" i="4"/>
  <c r="D54" i="11"/>
  <c r="E54" i="11"/>
  <c r="D55" i="11"/>
  <c r="E55" i="11"/>
  <c r="F55" i="11"/>
  <c r="G55" i="11"/>
  <c r="D56" i="11"/>
  <c r="E56" i="11"/>
  <c r="F56" i="11"/>
  <c r="G56" i="11"/>
  <c r="D57" i="11"/>
  <c r="E57" i="11"/>
  <c r="F57" i="11"/>
  <c r="G57" i="11"/>
  <c r="E53" i="11"/>
  <c r="D53" i="11"/>
  <c r="G15" i="17"/>
  <c r="G13" i="17"/>
  <c r="G21" i="17"/>
  <c r="G19" i="17"/>
  <c r="H36" i="5"/>
  <c r="H37" i="5"/>
  <c r="H38" i="5"/>
  <c r="H39" i="5"/>
  <c r="H35" i="5"/>
  <c r="H20" i="5"/>
  <c r="H21" i="5"/>
  <c r="H22" i="5"/>
  <c r="H23" i="5"/>
  <c r="H24" i="5"/>
  <c r="H25" i="5"/>
  <c r="H26" i="5"/>
  <c r="H27" i="5"/>
  <c r="H28" i="5"/>
  <c r="H29" i="5"/>
  <c r="H19" i="5"/>
  <c r="H11" i="5"/>
  <c r="H12" i="5"/>
  <c r="H10" i="5"/>
  <c r="I56" i="14"/>
  <c r="D38" i="44"/>
  <c r="B49" i="44"/>
  <c r="B50" i="44"/>
  <c r="B51" i="44"/>
  <c r="B52" i="44"/>
  <c r="B48" i="44"/>
  <c r="B41" i="44"/>
  <c r="B42" i="44"/>
  <c r="B43" i="44"/>
  <c r="B44" i="44"/>
  <c r="B40" i="44"/>
  <c r="C52" i="44"/>
  <c r="E52" i="44" s="1"/>
  <c r="C51" i="44"/>
  <c r="E51" i="44" s="1"/>
  <c r="C50" i="44"/>
  <c r="E50" i="44" s="1"/>
  <c r="C49" i="44"/>
  <c r="E49" i="44" s="1"/>
  <c r="C48" i="44"/>
  <c r="E48" i="44" s="1"/>
  <c r="C44" i="44"/>
  <c r="E44" i="44" s="1"/>
  <c r="C43" i="44"/>
  <c r="E43" i="44" s="1"/>
  <c r="C42" i="44"/>
  <c r="E42" i="44" s="1"/>
  <c r="C41" i="44"/>
  <c r="E41" i="44" s="1"/>
  <c r="C40" i="44"/>
  <c r="E40" i="44" s="1"/>
  <c r="J15" i="44"/>
  <c r="I15" i="44"/>
  <c r="H15" i="44"/>
  <c r="G15" i="44"/>
  <c r="J14" i="44"/>
  <c r="I14" i="44"/>
  <c r="H14" i="44"/>
  <c r="G14" i="44"/>
  <c r="J13" i="44"/>
  <c r="I13" i="44"/>
  <c r="H13" i="44"/>
  <c r="G13" i="44"/>
  <c r="J12" i="44"/>
  <c r="I12" i="44"/>
  <c r="H12" i="44"/>
  <c r="G12" i="44"/>
  <c r="J11" i="44"/>
  <c r="M20" i="44" s="1"/>
  <c r="I11" i="44"/>
  <c r="H19" i="44" s="1"/>
  <c r="J19" i="44" s="1"/>
  <c r="H11" i="44"/>
  <c r="H18" i="44" s="1"/>
  <c r="J18" i="44" s="1"/>
  <c r="G11" i="44"/>
  <c r="F54" i="11" l="1"/>
  <c r="G54" i="11"/>
  <c r="V18" i="59"/>
  <c r="T18" i="59"/>
  <c r="T43" i="59"/>
  <c r="V43" i="59"/>
  <c r="T23" i="59"/>
  <c r="V23" i="59"/>
  <c r="T40" i="59"/>
  <c r="V40" i="59"/>
  <c r="T45" i="59"/>
  <c r="V45" i="59"/>
  <c r="V24" i="59"/>
  <c r="T24" i="59"/>
  <c r="U15" i="59"/>
  <c r="V48" i="59"/>
  <c r="T48" i="59"/>
  <c r="T21" i="59"/>
  <c r="V21" i="59"/>
  <c r="T42" i="59"/>
  <c r="V42" i="59"/>
  <c r="V26" i="59"/>
  <c r="T26" i="59"/>
  <c r="V13" i="59"/>
  <c r="T13" i="59"/>
  <c r="T27" i="59" s="1"/>
  <c r="T20" i="59"/>
  <c r="V20" i="59"/>
  <c r="U43" i="59"/>
  <c r="T47" i="59"/>
  <c r="T49" i="59" s="1"/>
  <c r="V47" i="59"/>
  <c r="U34" i="59"/>
  <c r="T25" i="59"/>
  <c r="V25" i="59"/>
  <c r="U23" i="59"/>
  <c r="U45" i="59"/>
  <c r="U49" i="59" s="1"/>
  <c r="V37" i="59"/>
  <c r="T37" i="59"/>
  <c r="V15" i="59"/>
  <c r="T15" i="59"/>
  <c r="U48" i="59"/>
  <c r="T34" i="59"/>
  <c r="V34" i="59"/>
  <c r="U21" i="59"/>
  <c r="U27" i="59" s="1"/>
  <c r="J26" i="58"/>
  <c r="I26" i="58"/>
  <c r="V40" i="58"/>
  <c r="T40" i="58"/>
  <c r="V44" i="58"/>
  <c r="T44" i="58"/>
  <c r="V46" i="58"/>
  <c r="T46" i="58"/>
  <c r="V36" i="58"/>
  <c r="T36" i="58"/>
  <c r="T48" i="58"/>
  <c r="V48" i="58"/>
  <c r="T42" i="58"/>
  <c r="V42" i="58"/>
  <c r="V38" i="58"/>
  <c r="T38" i="58"/>
  <c r="U36" i="58"/>
  <c r="U49" i="58" s="1"/>
  <c r="T47" i="58"/>
  <c r="T49" i="58" s="1"/>
  <c r="V47" i="58"/>
  <c r="V34" i="58"/>
  <c r="T34" i="58"/>
  <c r="K58" i="44"/>
  <c r="I19" i="44"/>
  <c r="I18" i="44"/>
  <c r="J26" i="59" l="1"/>
  <c r="I26" i="59"/>
  <c r="J48" i="59"/>
  <c r="K58" i="59" s="1"/>
  <c r="I48" i="59"/>
  <c r="I48" i="58"/>
  <c r="J48" i="58"/>
  <c r="K58" i="58" s="1"/>
  <c r="H30" i="13"/>
  <c r="G30" i="13"/>
  <c r="E30" i="13"/>
  <c r="D30" i="13"/>
  <c r="F47" i="12"/>
  <c r="E47" i="12"/>
  <c r="C47" i="12"/>
  <c r="B47" i="12"/>
  <c r="D47" i="12"/>
  <c r="C23" i="12"/>
  <c r="D23" i="12"/>
  <c r="E23" i="12"/>
  <c r="F23" i="12"/>
  <c r="H16" i="14" l="1"/>
  <c r="G16" i="14"/>
  <c r="F16" i="14"/>
  <c r="E16" i="14"/>
  <c r="C44" i="11"/>
  <c r="C45" i="11"/>
  <c r="E45" i="11" s="1"/>
  <c r="C46" i="11"/>
  <c r="C43" i="11"/>
  <c r="G53" i="11"/>
  <c r="C56" i="10"/>
  <c r="D50" i="10" s="1"/>
  <c r="F45" i="11" l="1"/>
  <c r="G45" i="11"/>
  <c r="E44" i="11"/>
  <c r="E46" i="11"/>
  <c r="E43" i="11"/>
  <c r="F53" i="11"/>
  <c r="H50" i="10"/>
  <c r="D56" i="10"/>
  <c r="I56" i="10" s="1"/>
  <c r="E31" i="10"/>
  <c r="D29" i="10"/>
  <c r="E29" i="10"/>
  <c r="F44" i="11" l="1"/>
  <c r="G44" i="11"/>
  <c r="F46" i="11"/>
  <c r="G46" i="11"/>
  <c r="G43" i="11"/>
  <c r="F43" i="11"/>
  <c r="J63" i="10"/>
  <c r="H56" i="10"/>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O11" i="4"/>
  <c r="I42" i="3"/>
  <c r="G25" i="24" l="1"/>
  <c r="E12" i="4" l="1"/>
  <c r="G15" i="26" l="1"/>
  <c r="G14" i="26"/>
  <c r="G13" i="26"/>
  <c r="G12" i="26"/>
  <c r="G11" i="26"/>
  <c r="C65" i="26"/>
  <c r="C64" i="26"/>
  <c r="C63" i="26"/>
  <c r="C62" i="26"/>
  <c r="C61" i="26"/>
  <c r="F16" i="13" l="1"/>
  <c r="C16" i="13"/>
  <c r="F12" i="13"/>
  <c r="C12" i="13"/>
  <c r="C7" i="9" l="1"/>
  <c r="C8" i="9"/>
  <c r="C9" i="9"/>
  <c r="C10" i="9"/>
  <c r="C11" i="9"/>
  <c r="C12" i="9"/>
  <c r="B8" i="9"/>
  <c r="B9" i="9"/>
  <c r="B10" i="9"/>
  <c r="B11" i="9"/>
  <c r="B12" i="9"/>
  <c r="B7" i="9"/>
  <c r="C1" i="14" l="1"/>
  <c r="C2" i="14"/>
  <c r="H1" i="14" l="1"/>
  <c r="H2" i="14"/>
  <c r="F19" i="14" l="1"/>
  <c r="B56" i="8"/>
  <c r="B47" i="8"/>
  <c r="B13" i="8"/>
  <c r="D9" i="10"/>
  <c r="D13" i="10" s="1"/>
  <c r="D14" i="10" l="1"/>
  <c r="D12" i="10"/>
  <c r="D11" i="10"/>
  <c r="N47" i="10" l="1" a="1"/>
  <c r="N47" i="10" s="1"/>
  <c r="M52" i="10" s="1"/>
  <c r="N60" i="10" a="1"/>
  <c r="N60" i="10" s="1"/>
  <c r="M65" i="10" s="1"/>
  <c r="L67" i="10" s="1"/>
  <c r="L48" i="10" a="1"/>
  <c r="L48" i="10" s="1"/>
  <c r="L37" i="10" a="1"/>
  <c r="L37" i="10" s="1"/>
  <c r="L49" i="10" a="1"/>
  <c r="L49" i="10" s="1"/>
  <c r="N49" i="10"/>
  <c r="L47" i="10" a="1"/>
  <c r="L47" i="10" s="1"/>
  <c r="L36" i="10" a="1"/>
  <c r="L36" i="10" s="1"/>
  <c r="N62" i="10"/>
  <c r="L35" i="10" a="1"/>
  <c r="L35" i="10" s="1"/>
  <c r="N37" i="10"/>
  <c r="N35" i="10" a="1"/>
  <c r="F37" i="17"/>
  <c r="F34" i="17"/>
  <c r="H34" i="17" s="1"/>
  <c r="F31" i="17"/>
  <c r="H31" i="17" s="1"/>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N13" i="4"/>
  <c r="O13" i="4" s="1"/>
  <c r="L52" i="10" l="1"/>
  <c r="L54" i="10"/>
  <c r="N35" i="10"/>
  <c r="O35" i="10"/>
  <c r="G34" i="17"/>
  <c r="G31" i="17"/>
  <c r="M40" i="10" l="1"/>
  <c r="E61" i="8"/>
  <c r="F61" i="8" s="1"/>
  <c r="E60" i="8"/>
  <c r="E52" i="8"/>
  <c r="E51" i="8"/>
  <c r="F52" i="8" l="1"/>
  <c r="J15" i="26" l="1"/>
  <c r="J14" i="26"/>
  <c r="J12" i="26"/>
  <c r="J11" i="26"/>
  <c r="F23" i="17" l="1"/>
  <c r="M30" i="24"/>
  <c r="E35" i="14"/>
  <c r="F35" i="14"/>
  <c r="G35" i="14"/>
  <c r="H35" i="14"/>
  <c r="G19" i="14"/>
  <c r="H19" i="14"/>
  <c r="E19" i="14"/>
  <c r="K28" i="14"/>
  <c r="K27" i="14"/>
  <c r="K26" i="14"/>
  <c r="K25" i="14"/>
  <c r="K24" i="14"/>
  <c r="K23" i="14"/>
  <c r="K22" i="14"/>
  <c r="K21" i="14"/>
  <c r="C11" i="11"/>
  <c r="C12" i="11"/>
  <c r="C13" i="11"/>
  <c r="C14" i="11"/>
  <c r="C15" i="11"/>
  <c r="C16" i="11"/>
  <c r="C17" i="11"/>
  <c r="C18" i="11"/>
  <c r="C19" i="11"/>
  <c r="C20" i="11"/>
  <c r="C10" i="11"/>
  <c r="D328" i="8"/>
  <c r="F328" i="8" s="1"/>
  <c r="D327" i="8"/>
  <c r="E326" i="8"/>
  <c r="D326" i="8"/>
  <c r="D325" i="8"/>
  <c r="D324" i="8"/>
  <c r="D323" i="8"/>
  <c r="D322" i="8"/>
  <c r="D321" i="8"/>
  <c r="D320" i="8"/>
  <c r="D315" i="8"/>
  <c r="F315" i="8" s="1"/>
  <c r="D314" i="8"/>
  <c r="F314" i="8" s="1"/>
  <c r="E313" i="8"/>
  <c r="D313" i="8"/>
  <c r="F313" i="8" s="1"/>
  <c r="F312" i="8"/>
  <c r="H312" i="8" s="1"/>
  <c r="D312" i="8"/>
  <c r="F311" i="8"/>
  <c r="H311" i="8" s="1"/>
  <c r="D311" i="8"/>
  <c r="F310" i="8"/>
  <c r="H310" i="8" s="1"/>
  <c r="E310" i="8"/>
  <c r="D310" i="8"/>
  <c r="D309" i="8"/>
  <c r="D308" i="8"/>
  <c r="G307" i="8"/>
  <c r="F307" i="8"/>
  <c r="H307" i="8" s="1"/>
  <c r="E307" i="8"/>
  <c r="F309" i="8" s="1"/>
  <c r="D307" i="8"/>
  <c r="D302" i="8"/>
  <c r="D301" i="8"/>
  <c r="D300" i="8"/>
  <c r="D299" i="8"/>
  <c r="D298" i="8"/>
  <c r="D297" i="8"/>
  <c r="D296" i="8"/>
  <c r="D295" i="8"/>
  <c r="D294" i="8"/>
  <c r="D289" i="8"/>
  <c r="D288" i="8"/>
  <c r="D287" i="8"/>
  <c r="E287" i="8" s="1"/>
  <c r="D286" i="8"/>
  <c r="D285" i="8"/>
  <c r="D284" i="8"/>
  <c r="E284" i="8" s="1"/>
  <c r="D283" i="8"/>
  <c r="D282" i="8"/>
  <c r="D281" i="8"/>
  <c r="E281" i="8" s="1"/>
  <c r="F282" i="8" s="1"/>
  <c r="D276" i="8"/>
  <c r="D275" i="8"/>
  <c r="D274" i="8"/>
  <c r="D273" i="8"/>
  <c r="D272" i="8"/>
  <c r="D271" i="8"/>
  <c r="D270" i="8"/>
  <c r="D269" i="8"/>
  <c r="D268" i="8"/>
  <c r="D263" i="8"/>
  <c r="D262" i="8"/>
  <c r="D261" i="8"/>
  <c r="D260" i="8"/>
  <c r="D259" i="8"/>
  <c r="D258" i="8"/>
  <c r="D257" i="8"/>
  <c r="D256" i="8"/>
  <c r="D255" i="8"/>
  <c r="D250" i="8"/>
  <c r="D249" i="8"/>
  <c r="D248" i="8"/>
  <c r="D247" i="8"/>
  <c r="D246" i="8"/>
  <c r="D245" i="8"/>
  <c r="D244" i="8"/>
  <c r="D243" i="8"/>
  <c r="E242" i="8"/>
  <c r="F244" i="8" s="1"/>
  <c r="D242" i="8"/>
  <c r="D237" i="8"/>
  <c r="F237" i="8" s="1"/>
  <c r="D236" i="8"/>
  <c r="F236" i="8" s="1"/>
  <c r="E235" i="8"/>
  <c r="D235" i="8"/>
  <c r="F235" i="8" s="1"/>
  <c r="D234" i="8"/>
  <c r="D233" i="8"/>
  <c r="D232" i="8"/>
  <c r="E232" i="8" s="1"/>
  <c r="D231" i="8"/>
  <c r="F231" i="8" s="1"/>
  <c r="D230" i="8"/>
  <c r="F230" i="8" s="1"/>
  <c r="E229" i="8"/>
  <c r="F229" i="8" s="1"/>
  <c r="D229" i="8"/>
  <c r="D224" i="8"/>
  <c r="D223" i="8"/>
  <c r="D222" i="8"/>
  <c r="D221" i="8"/>
  <c r="D220" i="8"/>
  <c r="D219" i="8"/>
  <c r="D218" i="8"/>
  <c r="D217" i="8"/>
  <c r="D216" i="8"/>
  <c r="D211" i="8"/>
  <c r="D210" i="8"/>
  <c r="D209" i="8"/>
  <c r="D208" i="8"/>
  <c r="D207" i="8"/>
  <c r="D206" i="8"/>
  <c r="D205" i="8"/>
  <c r="D204" i="8"/>
  <c r="D203" i="8"/>
  <c r="D198" i="8"/>
  <c r="D197" i="8"/>
  <c r="D196" i="8"/>
  <c r="D195" i="8"/>
  <c r="D194" i="8"/>
  <c r="D193" i="8"/>
  <c r="D192" i="8"/>
  <c r="D191" i="8"/>
  <c r="D190" i="8"/>
  <c r="D185" i="8"/>
  <c r="D184" i="8"/>
  <c r="D183" i="8"/>
  <c r="D182" i="8"/>
  <c r="D181" i="8"/>
  <c r="E180" i="8" s="1"/>
  <c r="F180" i="8" s="1"/>
  <c r="H180" i="8" s="1"/>
  <c r="D180" i="8"/>
  <c r="D179" i="8"/>
  <c r="D178" i="8"/>
  <c r="D177" i="8"/>
  <c r="D172" i="8"/>
  <c r="D171" i="8"/>
  <c r="D170" i="8"/>
  <c r="D169" i="8"/>
  <c r="D168" i="8"/>
  <c r="D167" i="8"/>
  <c r="D166" i="8"/>
  <c r="D165" i="8"/>
  <c r="D164" i="8"/>
  <c r="D159" i="8"/>
  <c r="D158" i="8"/>
  <c r="D157" i="8"/>
  <c r="D156" i="8"/>
  <c r="F156" i="8" s="1"/>
  <c r="H156" i="8" s="1"/>
  <c r="D155" i="8"/>
  <c r="E154" i="8"/>
  <c r="F155" i="8" s="1"/>
  <c r="H155" i="8" s="1"/>
  <c r="D154" i="8"/>
  <c r="F154" i="8" s="1"/>
  <c r="H154" i="8" s="1"/>
  <c r="D153" i="8"/>
  <c r="D152" i="8"/>
  <c r="G151" i="8"/>
  <c r="F151" i="8"/>
  <c r="H151" i="8" s="1"/>
  <c r="E151" i="8"/>
  <c r="F153" i="8" s="1"/>
  <c r="D151" i="8"/>
  <c r="D146" i="8"/>
  <c r="F146" i="8" s="1"/>
  <c r="D145" i="8"/>
  <c r="F145" i="8" s="1"/>
  <c r="E144" i="8"/>
  <c r="D144" i="8"/>
  <c r="F144" i="8" s="1"/>
  <c r="F143" i="8"/>
  <c r="H143" i="8" s="1"/>
  <c r="D143" i="8"/>
  <c r="F142" i="8"/>
  <c r="H142" i="8" s="1"/>
  <c r="D142" i="8"/>
  <c r="F141" i="8"/>
  <c r="H141" i="8" s="1"/>
  <c r="E141" i="8"/>
  <c r="D141" i="8"/>
  <c r="D140" i="8"/>
  <c r="D139" i="8"/>
  <c r="E138" i="8"/>
  <c r="F140" i="8" s="1"/>
  <c r="D138" i="8"/>
  <c r="D133" i="8"/>
  <c r="D132" i="8"/>
  <c r="D131" i="8"/>
  <c r="D130" i="8"/>
  <c r="D129" i="8"/>
  <c r="D128" i="8"/>
  <c r="D127" i="8"/>
  <c r="D126" i="8"/>
  <c r="E125" i="8"/>
  <c r="F125" i="8" s="1"/>
  <c r="D125" i="8"/>
  <c r="D120" i="8"/>
  <c r="D119" i="8"/>
  <c r="D118" i="8"/>
  <c r="D117" i="8"/>
  <c r="D116" i="8"/>
  <c r="D115" i="8"/>
  <c r="D114" i="8"/>
  <c r="D113" i="8"/>
  <c r="D112" i="8"/>
  <c r="D107" i="8"/>
  <c r="D106" i="8"/>
  <c r="D105" i="8"/>
  <c r="D104" i="8"/>
  <c r="D103" i="8"/>
  <c r="D102" i="8"/>
  <c r="D101" i="8"/>
  <c r="D100" i="8"/>
  <c r="D99" i="8"/>
  <c r="D94" i="8"/>
  <c r="D93" i="8"/>
  <c r="D92" i="8"/>
  <c r="D91" i="8"/>
  <c r="D90" i="8"/>
  <c r="D89" i="8"/>
  <c r="D88" i="8"/>
  <c r="D87" i="8"/>
  <c r="D86" i="8"/>
  <c r="D81" i="8"/>
  <c r="D80" i="8"/>
  <c r="D79" i="8"/>
  <c r="D78" i="8"/>
  <c r="D77" i="8"/>
  <c r="D76" i="8"/>
  <c r="D75" i="8"/>
  <c r="D74" i="8"/>
  <c r="D73" i="8"/>
  <c r="D34" i="8"/>
  <c r="D35" i="8"/>
  <c r="D36" i="8"/>
  <c r="D37" i="8"/>
  <c r="D38" i="8"/>
  <c r="D39" i="8"/>
  <c r="D32" i="8"/>
  <c r="D33" i="8"/>
  <c r="D31" i="8"/>
  <c r="D18" i="8"/>
  <c r="D19" i="8"/>
  <c r="D20" i="8"/>
  <c r="D21" i="8"/>
  <c r="D22" i="8"/>
  <c r="D23" i="8"/>
  <c r="D24" i="8"/>
  <c r="D25" i="8"/>
  <c r="D17" i="8"/>
  <c r="B61" i="8"/>
  <c r="B60" i="8"/>
  <c r="E35" i="4"/>
  <c r="E36" i="4"/>
  <c r="E34" i="4"/>
  <c r="F12" i="4"/>
  <c r="E11" i="4"/>
  <c r="E13" i="4"/>
  <c r="E10" i="4"/>
  <c r="B52" i="8"/>
  <c r="B51" i="8"/>
  <c r="C57" i="26"/>
  <c r="E57" i="26" s="1"/>
  <c r="C56" i="26"/>
  <c r="E56" i="26" s="1"/>
  <c r="C55" i="26"/>
  <c r="E55" i="26" s="1"/>
  <c r="C54" i="26"/>
  <c r="E54" i="26" s="1"/>
  <c r="C53" i="26"/>
  <c r="E53" i="26" s="1"/>
  <c r="D43" i="26"/>
  <c r="B40" i="26"/>
  <c r="B65" i="26" s="1"/>
  <c r="B39" i="26"/>
  <c r="B48" i="26" s="1"/>
  <c r="B37" i="26"/>
  <c r="B62" i="26" s="1"/>
  <c r="B36" i="26"/>
  <c r="B61" i="26" s="1"/>
  <c r="I15" i="26"/>
  <c r="H15" i="26"/>
  <c r="E65" i="26"/>
  <c r="I14" i="26"/>
  <c r="H14" i="26"/>
  <c r="E64" i="26"/>
  <c r="I13" i="26"/>
  <c r="E63" i="26"/>
  <c r="B13" i="26"/>
  <c r="I12" i="26"/>
  <c r="H12" i="26"/>
  <c r="E62" i="26"/>
  <c r="I11" i="26"/>
  <c r="H11" i="26"/>
  <c r="J2" i="26"/>
  <c r="B2" i="26"/>
  <c r="J1" i="26"/>
  <c r="B1" i="26"/>
  <c r="E49" i="2"/>
  <c r="E42" i="2"/>
  <c r="E35" i="2"/>
  <c r="L3" i="59" l="1"/>
  <c r="L3" i="58"/>
  <c r="K3" i="55"/>
  <c r="K3" i="53"/>
  <c r="L5" i="59"/>
  <c r="L5" i="58"/>
  <c r="K5" i="55"/>
  <c r="K5" i="53"/>
  <c r="L7" i="59"/>
  <c r="L7" i="58"/>
  <c r="K7" i="55"/>
  <c r="K7" i="53"/>
  <c r="G35" i="4"/>
  <c r="H35" i="4"/>
  <c r="H13" i="4"/>
  <c r="G13" i="4"/>
  <c r="H10" i="4"/>
  <c r="G10" i="4"/>
  <c r="E206" i="8"/>
  <c r="F206" i="8" s="1"/>
  <c r="H206" i="8" s="1"/>
  <c r="E86" i="8"/>
  <c r="F88" i="8" s="1"/>
  <c r="G88" i="8" s="1"/>
  <c r="E294" i="8"/>
  <c r="F296" i="8" s="1"/>
  <c r="E102" i="8"/>
  <c r="F102" i="8" s="1"/>
  <c r="H102" i="8" s="1"/>
  <c r="E203" i="8"/>
  <c r="F205" i="8" s="1"/>
  <c r="G205" i="8" s="1"/>
  <c r="E300" i="8"/>
  <c r="F300" i="8" s="1"/>
  <c r="E89" i="8"/>
  <c r="F90" i="8" s="1"/>
  <c r="E112" i="8"/>
  <c r="F114" i="8" s="1"/>
  <c r="G114" i="8" s="1"/>
  <c r="E219" i="8"/>
  <c r="F219" i="8" s="1"/>
  <c r="H219" i="8" s="1"/>
  <c r="F294" i="8"/>
  <c r="H294" i="8" s="1"/>
  <c r="E190" i="8"/>
  <c r="E76" i="8"/>
  <c r="F78" i="8" s="1"/>
  <c r="E37" i="8"/>
  <c r="F38" i="8" s="1"/>
  <c r="E73" i="8"/>
  <c r="F75" i="8" s="1"/>
  <c r="E164" i="8"/>
  <c r="F164" i="8" s="1"/>
  <c r="H164" i="8" s="1"/>
  <c r="E196" i="8"/>
  <c r="F198" i="8" s="1"/>
  <c r="E268" i="8"/>
  <c r="F268" i="8" s="1"/>
  <c r="H268" i="8" s="1"/>
  <c r="E258" i="8"/>
  <c r="F192" i="8"/>
  <c r="G192" i="8" s="1"/>
  <c r="F190" i="8"/>
  <c r="F91" i="8"/>
  <c r="H91" i="8" s="1"/>
  <c r="H13" i="26"/>
  <c r="J13" i="26"/>
  <c r="E34" i="8"/>
  <c r="E79" i="8"/>
  <c r="F81" i="8" s="1"/>
  <c r="F89" i="8"/>
  <c r="H89" i="8" s="1"/>
  <c r="F220" i="8"/>
  <c r="H220" i="8" s="1"/>
  <c r="F73" i="8"/>
  <c r="F221" i="8"/>
  <c r="H221" i="8" s="1"/>
  <c r="E92" i="8"/>
  <c r="F94" i="8" s="1"/>
  <c r="E115" i="8"/>
  <c r="F116" i="8" s="1"/>
  <c r="H116" i="8" s="1"/>
  <c r="E118" i="8"/>
  <c r="F118" i="8" s="1"/>
  <c r="E193" i="8"/>
  <c r="F194" i="8" s="1"/>
  <c r="H194" i="8" s="1"/>
  <c r="F207" i="8"/>
  <c r="H207" i="8" s="1"/>
  <c r="E297" i="8"/>
  <c r="F298" i="8" s="1"/>
  <c r="H298" i="8" s="1"/>
  <c r="F301" i="8"/>
  <c r="G301" i="8" s="1"/>
  <c r="E17" i="8"/>
  <c r="F18" i="8" s="1"/>
  <c r="F208" i="8"/>
  <c r="H208" i="8" s="1"/>
  <c r="E271" i="8"/>
  <c r="E274" i="8"/>
  <c r="F275" i="8" s="1"/>
  <c r="E61" i="26"/>
  <c r="H20" i="26"/>
  <c r="E20" i="8"/>
  <c r="F21" i="8" s="1"/>
  <c r="G21" i="8" s="1"/>
  <c r="E177" i="8"/>
  <c r="F179" i="8" s="1"/>
  <c r="H179" i="8" s="1"/>
  <c r="F182" i="8"/>
  <c r="H182" i="8" s="1"/>
  <c r="E157" i="8"/>
  <c r="F126" i="8"/>
  <c r="F127" i="8"/>
  <c r="F131" i="8"/>
  <c r="H131" i="8" s="1"/>
  <c r="E128" i="8"/>
  <c r="E131" i="8"/>
  <c r="F132" i="8" s="1"/>
  <c r="E99" i="8"/>
  <c r="F101" i="8" s="1"/>
  <c r="E105" i="8"/>
  <c r="F107" i="8" s="1"/>
  <c r="E245" i="8"/>
  <c r="F247" i="8" s="1"/>
  <c r="E248" i="8"/>
  <c r="F250" i="8" s="1"/>
  <c r="F288" i="8"/>
  <c r="F289" i="8"/>
  <c r="F283" i="8"/>
  <c r="F287" i="8"/>
  <c r="E261" i="8"/>
  <c r="F263" i="8" s="1"/>
  <c r="E216" i="8"/>
  <c r="F218" i="8" s="1"/>
  <c r="G218" i="8" s="1"/>
  <c r="E222" i="8"/>
  <c r="F224" i="8" s="1"/>
  <c r="E209" i="8"/>
  <c r="F211" i="8" s="1"/>
  <c r="F181" i="8"/>
  <c r="H181" i="8" s="1"/>
  <c r="E183" i="8"/>
  <c r="F184" i="8" s="1"/>
  <c r="H184" i="8" s="1"/>
  <c r="E167" i="8"/>
  <c r="F168" i="8" s="1"/>
  <c r="E170" i="8"/>
  <c r="F172" i="8" s="1"/>
  <c r="F165" i="8"/>
  <c r="G165" i="8" s="1"/>
  <c r="E320" i="8"/>
  <c r="F322" i="8" s="1"/>
  <c r="F326" i="8"/>
  <c r="H326" i="8" s="1"/>
  <c r="E323" i="8"/>
  <c r="F325" i="8" s="1"/>
  <c r="F327" i="8"/>
  <c r="H327" i="8" s="1"/>
  <c r="G326" i="8"/>
  <c r="F323" i="8"/>
  <c r="G322" i="8"/>
  <c r="H322" i="8"/>
  <c r="H328" i="8"/>
  <c r="G328" i="8"/>
  <c r="F320" i="8"/>
  <c r="F321" i="8"/>
  <c r="H313" i="8"/>
  <c r="G313" i="8"/>
  <c r="H314" i="8"/>
  <c r="G314" i="8"/>
  <c r="H309" i="8"/>
  <c r="G309" i="8"/>
  <c r="H315" i="8"/>
  <c r="G315" i="8"/>
  <c r="G310" i="8"/>
  <c r="G311" i="8"/>
  <c r="G312" i="8"/>
  <c r="F308" i="8"/>
  <c r="H296" i="8"/>
  <c r="G296" i="8"/>
  <c r="G298" i="8"/>
  <c r="F295" i="8"/>
  <c r="H287" i="8"/>
  <c r="G287" i="8"/>
  <c r="F284" i="8"/>
  <c r="F286" i="8"/>
  <c r="F285" i="8"/>
  <c r="H282" i="8"/>
  <c r="G282" i="8"/>
  <c r="H288" i="8"/>
  <c r="G288" i="8"/>
  <c r="G283" i="8"/>
  <c r="H283" i="8"/>
  <c r="H289" i="8"/>
  <c r="G289" i="8"/>
  <c r="F281" i="8"/>
  <c r="F273" i="8"/>
  <c r="F271" i="8"/>
  <c r="F272" i="8"/>
  <c r="F258" i="8"/>
  <c r="F260" i="8"/>
  <c r="F259" i="8"/>
  <c r="E255" i="8"/>
  <c r="F257" i="8" s="1"/>
  <c r="F246" i="8"/>
  <c r="G244" i="8"/>
  <c r="H244" i="8"/>
  <c r="F242" i="8"/>
  <c r="F243" i="8"/>
  <c r="H235" i="8"/>
  <c r="G235" i="8"/>
  <c r="F234" i="8"/>
  <c r="F232" i="8"/>
  <c r="F233" i="8"/>
  <c r="G229" i="8"/>
  <c r="H229" i="8"/>
  <c r="H236" i="8"/>
  <c r="G236" i="8"/>
  <c r="G231" i="8"/>
  <c r="H231" i="8"/>
  <c r="H230" i="8"/>
  <c r="G230" i="8"/>
  <c r="H237" i="8"/>
  <c r="G237" i="8"/>
  <c r="G206" i="8"/>
  <c r="F204" i="8"/>
  <c r="F191" i="8"/>
  <c r="G179" i="8"/>
  <c r="G180" i="8"/>
  <c r="G181" i="8"/>
  <c r="G182" i="8"/>
  <c r="F177" i="8"/>
  <c r="F178" i="8"/>
  <c r="F167" i="8"/>
  <c r="G164" i="8"/>
  <c r="H165" i="8"/>
  <c r="G153" i="8"/>
  <c r="H153" i="8"/>
  <c r="F157" i="8"/>
  <c r="F159" i="8"/>
  <c r="G154" i="8"/>
  <c r="G155" i="8"/>
  <c r="G156" i="8"/>
  <c r="F158" i="8"/>
  <c r="F152" i="8"/>
  <c r="H144" i="8"/>
  <c r="G144" i="8"/>
  <c r="H140" i="8"/>
  <c r="G140" i="8"/>
  <c r="H145" i="8"/>
  <c r="G145" i="8"/>
  <c r="H146" i="8"/>
  <c r="G146" i="8"/>
  <c r="G141" i="8"/>
  <c r="G142" i="8"/>
  <c r="G143" i="8"/>
  <c r="F138" i="8"/>
  <c r="F139" i="8"/>
  <c r="F130" i="8"/>
  <c r="F128" i="8"/>
  <c r="F129" i="8"/>
  <c r="G125" i="8"/>
  <c r="H125" i="8"/>
  <c r="G127" i="8"/>
  <c r="H127" i="8"/>
  <c r="H126" i="8"/>
  <c r="G126" i="8"/>
  <c r="G116" i="8"/>
  <c r="F120" i="8"/>
  <c r="G101" i="8"/>
  <c r="H101" i="8"/>
  <c r="F100" i="8"/>
  <c r="G89" i="8"/>
  <c r="F36" i="8"/>
  <c r="F34" i="8"/>
  <c r="F35" i="8"/>
  <c r="F37" i="8"/>
  <c r="H37" i="8" s="1"/>
  <c r="E31" i="8"/>
  <c r="F31" i="8" s="1"/>
  <c r="F19" i="8"/>
  <c r="E23" i="8"/>
  <c r="F24" i="8" s="1"/>
  <c r="H16" i="26"/>
  <c r="B45" i="26"/>
  <c r="B49" i="26"/>
  <c r="B56" i="26"/>
  <c r="B38" i="26"/>
  <c r="B46" i="26"/>
  <c r="B53" i="26"/>
  <c r="B57" i="26"/>
  <c r="B64" i="26"/>
  <c r="H18" i="26"/>
  <c r="H19" i="26"/>
  <c r="B54" i="26"/>
  <c r="G300" i="8" l="1"/>
  <c r="H300" i="8"/>
  <c r="F302" i="8"/>
  <c r="F93" i="8"/>
  <c r="H93" i="8" s="1"/>
  <c r="F86" i="8"/>
  <c r="F39" i="8"/>
  <c r="H88" i="8"/>
  <c r="F87" i="8"/>
  <c r="H87" i="8" s="1"/>
  <c r="G208" i="8"/>
  <c r="G268" i="8"/>
  <c r="H301" i="8"/>
  <c r="G294" i="8"/>
  <c r="F269" i="8"/>
  <c r="G91" i="8"/>
  <c r="F270" i="8"/>
  <c r="G270" i="8" s="1"/>
  <c r="J19" i="26"/>
  <c r="I19" i="26"/>
  <c r="I20" i="26"/>
  <c r="J20" i="26"/>
  <c r="J18" i="26"/>
  <c r="I18" i="26"/>
  <c r="G194" i="8"/>
  <c r="F217" i="8"/>
  <c r="H217" i="8" s="1"/>
  <c r="F113" i="8"/>
  <c r="G113" i="8" s="1"/>
  <c r="H114" i="8"/>
  <c r="H218" i="8"/>
  <c r="G102" i="8"/>
  <c r="F112" i="8"/>
  <c r="H112" i="8" s="1"/>
  <c r="F166" i="8"/>
  <c r="F103" i="8"/>
  <c r="H103" i="8" s="1"/>
  <c r="F104" i="8"/>
  <c r="G37" i="8"/>
  <c r="H198" i="8"/>
  <c r="G198" i="8"/>
  <c r="H90" i="8"/>
  <c r="G90" i="8"/>
  <c r="F20" i="8"/>
  <c r="G103" i="8"/>
  <c r="F203" i="8"/>
  <c r="H203" i="8" s="1"/>
  <c r="G221" i="8"/>
  <c r="F210" i="8"/>
  <c r="F197" i="8"/>
  <c r="F196" i="8"/>
  <c r="H196" i="8" s="1"/>
  <c r="H205" i="8"/>
  <c r="G220" i="8"/>
  <c r="G207" i="8"/>
  <c r="G219" i="8"/>
  <c r="F76" i="8"/>
  <c r="H76" i="8" s="1"/>
  <c r="F74" i="8"/>
  <c r="H21" i="8"/>
  <c r="H78" i="8"/>
  <c r="G78" i="8"/>
  <c r="G75" i="8"/>
  <c r="H75" i="8"/>
  <c r="F77" i="8"/>
  <c r="H77" i="8" s="1"/>
  <c r="H270" i="8"/>
  <c r="H192" i="8"/>
  <c r="F17" i="8"/>
  <c r="G17" i="8" s="1"/>
  <c r="F22" i="8"/>
  <c r="G22" i="8" s="1"/>
  <c r="H94" i="8"/>
  <c r="G94" i="8"/>
  <c r="H118" i="8"/>
  <c r="G118" i="8"/>
  <c r="H275" i="8"/>
  <c r="G275" i="8"/>
  <c r="H81" i="8"/>
  <c r="G81" i="8"/>
  <c r="F92" i="8"/>
  <c r="F297" i="8"/>
  <c r="F80" i="8"/>
  <c r="F274" i="8"/>
  <c r="H86" i="8"/>
  <c r="G86" i="8"/>
  <c r="H73" i="8"/>
  <c r="G73" i="8"/>
  <c r="F193" i="8"/>
  <c r="H190" i="8"/>
  <c r="G190" i="8"/>
  <c r="F79" i="8"/>
  <c r="F119" i="8"/>
  <c r="F115" i="8"/>
  <c r="F299" i="8"/>
  <c r="F209" i="8"/>
  <c r="F276" i="8"/>
  <c r="F195" i="8"/>
  <c r="F117" i="8"/>
  <c r="F185" i="8"/>
  <c r="F183" i="8"/>
  <c r="H132" i="8"/>
  <c r="G132" i="8"/>
  <c r="G131" i="8"/>
  <c r="F133" i="8"/>
  <c r="G107" i="8"/>
  <c r="H107" i="8"/>
  <c r="F105" i="8"/>
  <c r="F106" i="8"/>
  <c r="F99" i="8"/>
  <c r="G250" i="8"/>
  <c r="H250" i="8"/>
  <c r="F248" i="8"/>
  <c r="F245" i="8"/>
  <c r="H245" i="8" s="1"/>
  <c r="F249" i="8"/>
  <c r="H263" i="8"/>
  <c r="G263" i="8"/>
  <c r="F262" i="8"/>
  <c r="F261" i="8"/>
  <c r="H224" i="8"/>
  <c r="G224" i="8"/>
  <c r="F216" i="8"/>
  <c r="F222" i="8"/>
  <c r="F223" i="8"/>
  <c r="H211" i="8"/>
  <c r="G211" i="8"/>
  <c r="G184" i="8"/>
  <c r="H172" i="8"/>
  <c r="G172" i="8"/>
  <c r="F169" i="8"/>
  <c r="G169" i="8" s="1"/>
  <c r="F171" i="8"/>
  <c r="F170" i="8"/>
  <c r="G327" i="8"/>
  <c r="F324" i="8"/>
  <c r="G324" i="8" s="1"/>
  <c r="G320" i="8"/>
  <c r="H320" i="8"/>
  <c r="H325" i="8"/>
  <c r="G325" i="8"/>
  <c r="H323" i="8"/>
  <c r="G323" i="8"/>
  <c r="H321" i="8"/>
  <c r="G321" i="8"/>
  <c r="H324" i="8"/>
  <c r="G308" i="8"/>
  <c r="H308" i="8"/>
  <c r="G295" i="8"/>
  <c r="H295" i="8"/>
  <c r="H286" i="8"/>
  <c r="G286" i="8"/>
  <c r="H284" i="8"/>
  <c r="G284" i="8"/>
  <c r="G281" i="8"/>
  <c r="H281" i="8"/>
  <c r="H285" i="8"/>
  <c r="G285" i="8"/>
  <c r="H271" i="8"/>
  <c r="G271" i="8"/>
  <c r="H273" i="8"/>
  <c r="G273" i="8"/>
  <c r="H272" i="8"/>
  <c r="G272" i="8"/>
  <c r="H257" i="8"/>
  <c r="G257" i="8"/>
  <c r="H260" i="8"/>
  <c r="G260" i="8"/>
  <c r="G258" i="8"/>
  <c r="H258" i="8"/>
  <c r="F256" i="8"/>
  <c r="F255" i="8"/>
  <c r="H259" i="8"/>
  <c r="G259" i="8"/>
  <c r="H247" i="8"/>
  <c r="G247" i="8"/>
  <c r="H246" i="8"/>
  <c r="G246" i="8"/>
  <c r="H242" i="8"/>
  <c r="G242" i="8"/>
  <c r="G243" i="8"/>
  <c r="H243" i="8"/>
  <c r="H232" i="8"/>
  <c r="G232" i="8"/>
  <c r="H234" i="8"/>
  <c r="G234" i="8"/>
  <c r="H233" i="8"/>
  <c r="G233" i="8"/>
  <c r="G203" i="8"/>
  <c r="H204" i="8"/>
  <c r="G204" i="8"/>
  <c r="H191" i="8"/>
  <c r="G191" i="8"/>
  <c r="G177" i="8"/>
  <c r="H177" i="8"/>
  <c r="H178" i="8"/>
  <c r="G178" i="8"/>
  <c r="H167" i="8"/>
  <c r="G167" i="8"/>
  <c r="H168" i="8"/>
  <c r="G168" i="8"/>
  <c r="H159" i="8"/>
  <c r="G159" i="8"/>
  <c r="H157" i="8"/>
  <c r="G157" i="8"/>
  <c r="H158" i="8"/>
  <c r="G158" i="8"/>
  <c r="G152" i="8"/>
  <c r="H152" i="8"/>
  <c r="H138" i="8"/>
  <c r="G138" i="8"/>
  <c r="G139" i="8"/>
  <c r="H139" i="8"/>
  <c r="H128" i="8"/>
  <c r="G128" i="8"/>
  <c r="H130" i="8"/>
  <c r="G130" i="8"/>
  <c r="H129" i="8"/>
  <c r="G129" i="8"/>
  <c r="G112" i="8"/>
  <c r="H120" i="8"/>
  <c r="G120" i="8"/>
  <c r="H113" i="8"/>
  <c r="H100" i="8"/>
  <c r="G100" i="8"/>
  <c r="G39" i="8"/>
  <c r="H39" i="8"/>
  <c r="G38" i="8"/>
  <c r="H38" i="8"/>
  <c r="G35" i="8"/>
  <c r="H35" i="8"/>
  <c r="G34" i="8"/>
  <c r="H34" i="8"/>
  <c r="G36" i="8"/>
  <c r="H36" i="8"/>
  <c r="G31" i="8"/>
  <c r="H31" i="8"/>
  <c r="F32" i="8"/>
  <c r="F33" i="8"/>
  <c r="G24" i="8"/>
  <c r="H24" i="8"/>
  <c r="F23" i="8"/>
  <c r="G20" i="8"/>
  <c r="H20" i="8"/>
  <c r="F25" i="8"/>
  <c r="G18" i="8"/>
  <c r="H18" i="8"/>
  <c r="G19" i="8"/>
  <c r="H19" i="8"/>
  <c r="B55" i="26"/>
  <c r="B47" i="26"/>
  <c r="B63" i="26"/>
  <c r="C40" i="26"/>
  <c r="C38" i="26"/>
  <c r="C36" i="26"/>
  <c r="C39" i="26"/>
  <c r="C37" i="26"/>
  <c r="G87" i="8" l="1"/>
  <c r="G217" i="8"/>
  <c r="G196" i="8"/>
  <c r="H302" i="8"/>
  <c r="G302" i="8"/>
  <c r="G93" i="8"/>
  <c r="G269" i="8"/>
  <c r="H269" i="8"/>
  <c r="G77" i="8"/>
  <c r="H104" i="8"/>
  <c r="G104" i="8"/>
  <c r="H169" i="8"/>
  <c r="G76" i="8"/>
  <c r="H17" i="8"/>
  <c r="G166" i="8"/>
  <c r="H166" i="8"/>
  <c r="H197" i="8"/>
  <c r="G197" i="8"/>
  <c r="G210" i="8"/>
  <c r="H210" i="8"/>
  <c r="H74" i="8"/>
  <c r="G74" i="8"/>
  <c r="H22" i="8"/>
  <c r="G209" i="8"/>
  <c r="H209" i="8"/>
  <c r="H193" i="8"/>
  <c r="G193" i="8"/>
  <c r="H80" i="8"/>
  <c r="G80" i="8"/>
  <c r="H92" i="8"/>
  <c r="G92" i="8"/>
  <c r="H117" i="8"/>
  <c r="G117" i="8"/>
  <c r="H299" i="8"/>
  <c r="G299" i="8"/>
  <c r="G79" i="8"/>
  <c r="H79" i="8"/>
  <c r="H195" i="8"/>
  <c r="G195" i="8"/>
  <c r="H115" i="8"/>
  <c r="G115" i="8"/>
  <c r="H276" i="8"/>
  <c r="G276" i="8"/>
  <c r="H119" i="8"/>
  <c r="G119" i="8"/>
  <c r="G274" i="8"/>
  <c r="H274" i="8"/>
  <c r="H297" i="8"/>
  <c r="G297" i="8"/>
  <c r="H183" i="8"/>
  <c r="G183" i="8"/>
  <c r="H185" i="8"/>
  <c r="G185" i="8"/>
  <c r="H133" i="8"/>
  <c r="G133" i="8"/>
  <c r="H105" i="8"/>
  <c r="G105" i="8"/>
  <c r="G106" i="8"/>
  <c r="H106" i="8"/>
  <c r="H99" i="8"/>
  <c r="G99" i="8"/>
  <c r="G245" i="8"/>
  <c r="H248" i="8"/>
  <c r="G248" i="8"/>
  <c r="H249" i="8"/>
  <c r="G249" i="8"/>
  <c r="G261" i="8"/>
  <c r="H261" i="8"/>
  <c r="H262" i="8"/>
  <c r="G262" i="8"/>
  <c r="H223" i="8"/>
  <c r="G223" i="8"/>
  <c r="H222" i="8"/>
  <c r="G222" i="8"/>
  <c r="H216" i="8"/>
  <c r="G216" i="8"/>
  <c r="G171" i="8"/>
  <c r="H171" i="8"/>
  <c r="H170" i="8"/>
  <c r="G170" i="8"/>
  <c r="H255" i="8"/>
  <c r="G255" i="8"/>
  <c r="G256" i="8"/>
  <c r="H256" i="8"/>
  <c r="H33" i="8"/>
  <c r="G33" i="8"/>
  <c r="H32" i="8"/>
  <c r="G32" i="8"/>
  <c r="G23" i="8"/>
  <c r="H23" i="8"/>
  <c r="G25" i="8"/>
  <c r="H25" i="8"/>
  <c r="D36" i="26"/>
  <c r="C45" i="26"/>
  <c r="E45" i="26" s="1"/>
  <c r="C46" i="26"/>
  <c r="E46" i="26" s="1"/>
  <c r="D37" i="26"/>
  <c r="D40" i="26"/>
  <c r="C49" i="26"/>
  <c r="E49" i="26" s="1"/>
  <c r="D39" i="26"/>
  <c r="C48" i="26"/>
  <c r="E48" i="26" s="1"/>
  <c r="C47" i="26"/>
  <c r="E47" i="26" s="1"/>
  <c r="D38" i="26"/>
  <c r="G61" i="8" l="1"/>
  <c r="H61" i="8"/>
  <c r="E36" i="26"/>
  <c r="F37" i="26" s="1"/>
  <c r="J37" i="26" l="1"/>
  <c r="I37" i="26"/>
  <c r="F38" i="26"/>
  <c r="F36" i="26"/>
  <c r="F40" i="26"/>
  <c r="F39" i="26"/>
  <c r="F48" i="1"/>
  <c r="F47" i="24"/>
  <c r="F25" i="24"/>
  <c r="E44" i="14"/>
  <c r="F44" i="14"/>
  <c r="E45" i="14"/>
  <c r="F45" i="14"/>
  <c r="E46" i="14"/>
  <c r="F46" i="14"/>
  <c r="E47" i="14"/>
  <c r="F47" i="14"/>
  <c r="G44" i="14"/>
  <c r="H44" i="14"/>
  <c r="G45" i="14"/>
  <c r="H45" i="14"/>
  <c r="G46" i="14"/>
  <c r="H46" i="14"/>
  <c r="G47" i="14"/>
  <c r="H47" i="14"/>
  <c r="I25" i="24" l="1"/>
  <c r="J25" i="24"/>
  <c r="H48" i="14"/>
  <c r="H51" i="14" s="1"/>
  <c r="G48" i="14"/>
  <c r="F48" i="14"/>
  <c r="J38" i="26"/>
  <c r="I38" i="26"/>
  <c r="I39" i="26"/>
  <c r="J39" i="26"/>
  <c r="J40" i="26"/>
  <c r="I40" i="26"/>
  <c r="J36" i="26"/>
  <c r="I36" i="26"/>
  <c r="K71" i="26"/>
  <c r="D45" i="1" s="1"/>
  <c r="E48" i="14"/>
  <c r="E51" i="14" s="1"/>
  <c r="G51" i="14"/>
  <c r="F20" i="12"/>
  <c r="D20" i="12"/>
  <c r="E20" i="12"/>
  <c r="C20" i="12"/>
  <c r="L19" i="12" s="1"/>
  <c r="N18" i="12" l="1"/>
  <c r="M18" i="12"/>
  <c r="O18" i="12"/>
  <c r="O19" i="12"/>
  <c r="F21" i="12" s="1"/>
  <c r="F51" i="14"/>
  <c r="L18" i="12"/>
  <c r="N19" i="12"/>
  <c r="E21" i="12" s="1"/>
  <c r="M19" i="12"/>
  <c r="D21" i="12" s="1"/>
  <c r="C21" i="12"/>
  <c r="S18" i="9" l="1"/>
  <c r="S29" i="9"/>
  <c r="S19" i="9"/>
  <c r="S36" i="9"/>
  <c r="S32" i="9"/>
  <c r="S37" i="9"/>
  <c r="S22" i="9"/>
  <c r="S23" i="9"/>
  <c r="S33" i="9"/>
  <c r="S34" i="9"/>
  <c r="S20" i="9"/>
  <c r="S31" i="9"/>
  <c r="S21" i="9"/>
  <c r="S16" i="9"/>
  <c r="Q181" i="8" l="1"/>
  <c r="T19" i="9" s="1"/>
  <c r="O181" i="8"/>
  <c r="R19" i="9" s="1"/>
  <c r="N181" i="8"/>
  <c r="Q19" i="9" s="1"/>
  <c r="M181" i="8"/>
  <c r="P19" i="9" s="1"/>
  <c r="L181" i="8"/>
  <c r="O19" i="9" s="1"/>
  <c r="B27" i="8"/>
  <c r="S26" i="9" l="1"/>
  <c r="S30" i="9"/>
  <c r="S27" i="9"/>
  <c r="S28" i="9"/>
  <c r="S24" i="9"/>
  <c r="S17" i="9"/>
  <c r="S35" i="9"/>
  <c r="S25" i="9"/>
  <c r="Q72" i="8"/>
  <c r="T35" i="9" s="1"/>
  <c r="O72" i="8"/>
  <c r="R35" i="9" s="1"/>
  <c r="N72" i="8"/>
  <c r="Q35" i="9" s="1"/>
  <c r="M72" i="8"/>
  <c r="P35" i="9" s="1"/>
  <c r="L72" i="8"/>
  <c r="O35" i="9" s="1"/>
  <c r="O71" i="8"/>
  <c r="R25" i="9" s="1"/>
  <c r="N71" i="8"/>
  <c r="Q25" i="9" s="1"/>
  <c r="Q71" i="8"/>
  <c r="T25" i="9" s="1"/>
  <c r="M71" i="8"/>
  <c r="P25" i="9" s="1"/>
  <c r="Q324" i="8"/>
  <c r="T16" i="9" s="1"/>
  <c r="O324" i="8"/>
  <c r="R16" i="9" s="1"/>
  <c r="N324" i="8"/>
  <c r="Q16" i="9" s="1"/>
  <c r="M324" i="8"/>
  <c r="P16" i="9" s="1"/>
  <c r="L324" i="8"/>
  <c r="O16" i="9" s="1"/>
  <c r="Q311" i="8"/>
  <c r="T21" i="9" s="1"/>
  <c r="O311" i="8"/>
  <c r="R21" i="9" s="1"/>
  <c r="N311" i="8"/>
  <c r="Q21" i="9" s="1"/>
  <c r="M311" i="8"/>
  <c r="P21" i="9" s="1"/>
  <c r="L311" i="8"/>
  <c r="O21" i="9" s="1"/>
  <c r="Q298" i="8"/>
  <c r="T31" i="9" s="1"/>
  <c r="O298" i="8"/>
  <c r="R31" i="9" s="1"/>
  <c r="N298" i="8"/>
  <c r="Q31" i="9" s="1"/>
  <c r="M298" i="8"/>
  <c r="P31" i="9" s="1"/>
  <c r="L298" i="8"/>
  <c r="O31" i="9" s="1"/>
  <c r="Q285" i="8"/>
  <c r="T20" i="9" s="1"/>
  <c r="O285" i="8"/>
  <c r="R20" i="9" s="1"/>
  <c r="N285" i="8"/>
  <c r="Q20" i="9" s="1"/>
  <c r="M285" i="8"/>
  <c r="P20" i="9" s="1"/>
  <c r="L285" i="8"/>
  <c r="O20" i="9" s="1"/>
  <c r="Q272" i="8"/>
  <c r="T34" i="9" s="1"/>
  <c r="O272" i="8"/>
  <c r="R34" i="9" s="1"/>
  <c r="N272" i="8"/>
  <c r="Q34" i="9" s="1"/>
  <c r="M272" i="8"/>
  <c r="P34" i="9" s="1"/>
  <c r="L272" i="8"/>
  <c r="O34" i="9" s="1"/>
  <c r="Q259" i="8"/>
  <c r="T33" i="9" s="1"/>
  <c r="O259" i="8"/>
  <c r="R33" i="9" s="1"/>
  <c r="N259" i="8"/>
  <c r="Q33" i="9" s="1"/>
  <c r="M259" i="8"/>
  <c r="P33" i="9" s="1"/>
  <c r="L259" i="8"/>
  <c r="O33" i="9" s="1"/>
  <c r="Q246" i="8"/>
  <c r="T23" i="9" s="1"/>
  <c r="O246" i="8"/>
  <c r="R23" i="9" s="1"/>
  <c r="N246" i="8"/>
  <c r="Q23" i="9" s="1"/>
  <c r="M246" i="8"/>
  <c r="P23" i="9" s="1"/>
  <c r="L246" i="8"/>
  <c r="O23" i="9" s="1"/>
  <c r="Q233" i="8"/>
  <c r="T22" i="9" s="1"/>
  <c r="O233" i="8"/>
  <c r="R22" i="9" s="1"/>
  <c r="N233" i="8"/>
  <c r="Q22" i="9" s="1"/>
  <c r="M233" i="8"/>
  <c r="L233" i="8"/>
  <c r="O22" i="9" s="1"/>
  <c r="Q220" i="8"/>
  <c r="T37" i="9" s="1"/>
  <c r="O220" i="8"/>
  <c r="R37" i="9" s="1"/>
  <c r="N220" i="8"/>
  <c r="Q37" i="9" s="1"/>
  <c r="M220" i="8"/>
  <c r="P37" i="9" s="1"/>
  <c r="L220" i="8"/>
  <c r="O37" i="9" s="1"/>
  <c r="Q207" i="8"/>
  <c r="T32" i="9" s="1"/>
  <c r="O207" i="8"/>
  <c r="R32" i="9" s="1"/>
  <c r="N207" i="8"/>
  <c r="Q32" i="9" s="1"/>
  <c r="M207" i="8"/>
  <c r="P32" i="9" s="1"/>
  <c r="L207" i="8"/>
  <c r="O32" i="9" s="1"/>
  <c r="Q194" i="8"/>
  <c r="T36" i="9" s="1"/>
  <c r="O194" i="8"/>
  <c r="R36" i="9" s="1"/>
  <c r="N194" i="8"/>
  <c r="Q36" i="9" s="1"/>
  <c r="M194" i="8"/>
  <c r="P36" i="9" s="1"/>
  <c r="L194" i="8"/>
  <c r="O36" i="9" s="1"/>
  <c r="Q168" i="8"/>
  <c r="T29" i="9" s="1"/>
  <c r="O168" i="8"/>
  <c r="R29" i="9" s="1"/>
  <c r="N168" i="8"/>
  <c r="Q29" i="9" s="1"/>
  <c r="M168" i="8"/>
  <c r="P29" i="9" s="1"/>
  <c r="L168" i="8"/>
  <c r="O29" i="9" s="1"/>
  <c r="Q155" i="8"/>
  <c r="T18" i="9" s="1"/>
  <c r="O155" i="8"/>
  <c r="R18" i="9" s="1"/>
  <c r="N155" i="8"/>
  <c r="Q18" i="9" s="1"/>
  <c r="M155" i="8"/>
  <c r="P18" i="9" s="1"/>
  <c r="L155" i="8"/>
  <c r="O18" i="9" s="1"/>
  <c r="Q142" i="8"/>
  <c r="O142" i="8"/>
  <c r="R17" i="9" s="1"/>
  <c r="N142" i="8"/>
  <c r="Q17" i="9" s="1"/>
  <c r="M142" i="8"/>
  <c r="P17" i="9" s="1"/>
  <c r="L142" i="8"/>
  <c r="O17" i="9" s="1"/>
  <c r="Q129" i="8"/>
  <c r="O129" i="8"/>
  <c r="R24" i="9" s="1"/>
  <c r="N129" i="8"/>
  <c r="Q24" i="9" s="1"/>
  <c r="M129" i="8"/>
  <c r="P24" i="9" s="1"/>
  <c r="L129" i="8"/>
  <c r="O24" i="9" s="1"/>
  <c r="Q116" i="8"/>
  <c r="T28" i="9" s="1"/>
  <c r="O116" i="8"/>
  <c r="R28" i="9" s="1"/>
  <c r="N116" i="8"/>
  <c r="Q28" i="9" s="1"/>
  <c r="M116" i="8"/>
  <c r="L116" i="8"/>
  <c r="O28" i="9" s="1"/>
  <c r="Q103" i="8"/>
  <c r="T27" i="9" s="1"/>
  <c r="O103" i="8"/>
  <c r="R27" i="9" s="1"/>
  <c r="N103" i="8"/>
  <c r="Q27" i="9" s="1"/>
  <c r="M103" i="8"/>
  <c r="L103" i="8"/>
  <c r="O27" i="9" s="1"/>
  <c r="Q90" i="8"/>
  <c r="T30" i="9" s="1"/>
  <c r="O90" i="8"/>
  <c r="R30" i="9" s="1"/>
  <c r="N90" i="8"/>
  <c r="Q30" i="9" s="1"/>
  <c r="M90" i="8"/>
  <c r="L90" i="8"/>
  <c r="O30" i="9" s="1"/>
  <c r="L77" i="8"/>
  <c r="O26" i="9" s="1"/>
  <c r="O77" i="8"/>
  <c r="R26" i="9" s="1"/>
  <c r="N77" i="8"/>
  <c r="Q26" i="9" s="1"/>
  <c r="Q77" i="8"/>
  <c r="T26" i="9" s="1"/>
  <c r="M77" i="8"/>
  <c r="P26" i="9" s="1"/>
  <c r="L71" i="8"/>
  <c r="O25" i="9" s="1"/>
  <c r="P22" i="9" l="1"/>
  <c r="P28" i="9"/>
  <c r="P27" i="9"/>
  <c r="P30" i="9"/>
  <c r="P11" i="9" s="1"/>
  <c r="T17" i="9"/>
  <c r="T24" i="9"/>
  <c r="R11" i="9" l="1"/>
  <c r="P12" i="9"/>
  <c r="A16" i="9" s="1"/>
  <c r="D24" i="9"/>
  <c r="C24" i="9"/>
  <c r="A24" i="9"/>
  <c r="B24" i="9"/>
  <c r="F24" i="9"/>
  <c r="F27" i="9"/>
  <c r="F31" i="9"/>
  <c r="L31" i="9" s="1"/>
  <c r="C25" i="9"/>
  <c r="C26" i="9"/>
  <c r="C27" i="9"/>
  <c r="C28" i="9"/>
  <c r="C29" i="9"/>
  <c r="E29" i="9" s="1"/>
  <c r="C30" i="9"/>
  <c r="C31" i="9"/>
  <c r="F26" i="9"/>
  <c r="B25" i="9"/>
  <c r="B27" i="9"/>
  <c r="B29" i="9"/>
  <c r="B31" i="9"/>
  <c r="F28" i="9"/>
  <c r="D25" i="9"/>
  <c r="D26" i="9"/>
  <c r="D27" i="9"/>
  <c r="D28" i="9"/>
  <c r="D29" i="9"/>
  <c r="D30" i="9"/>
  <c r="D31" i="9"/>
  <c r="F30" i="9"/>
  <c r="B26" i="9"/>
  <c r="B28" i="9"/>
  <c r="B30" i="9"/>
  <c r="F25" i="9"/>
  <c r="F29" i="9"/>
  <c r="A25" i="9"/>
  <c r="A26" i="9"/>
  <c r="A27" i="9"/>
  <c r="A28" i="9"/>
  <c r="A29" i="9"/>
  <c r="A30" i="9"/>
  <c r="A31" i="9"/>
  <c r="M33" i="24"/>
  <c r="M34" i="24"/>
  <c r="M35" i="24"/>
  <c r="M36" i="24"/>
  <c r="M37" i="24"/>
  <c r="M38" i="24"/>
  <c r="M39" i="24"/>
  <c r="M40" i="24"/>
  <c r="M41" i="24"/>
  <c r="M42" i="24"/>
  <c r="M43" i="24"/>
  <c r="M44" i="24"/>
  <c r="M45" i="24"/>
  <c r="M46" i="24"/>
  <c r="M47" i="24"/>
  <c r="M48" i="24"/>
  <c r="M32" i="24"/>
  <c r="AA32" i="24"/>
  <c r="AA33" i="24"/>
  <c r="AA34" i="24"/>
  <c r="AA35" i="24"/>
  <c r="AA36" i="24"/>
  <c r="AA37" i="24"/>
  <c r="AA38" i="24"/>
  <c r="AA39" i="24"/>
  <c r="AA40" i="24"/>
  <c r="AA41" i="24"/>
  <c r="AA42" i="24"/>
  <c r="AA43" i="24"/>
  <c r="AA44" i="24"/>
  <c r="AA45" i="24"/>
  <c r="AA46" i="24"/>
  <c r="AA47" i="24"/>
  <c r="AA48" i="24"/>
  <c r="AA31" i="24"/>
  <c r="M11" i="24"/>
  <c r="M12" i="24"/>
  <c r="M13" i="24"/>
  <c r="M14" i="24"/>
  <c r="M15" i="24"/>
  <c r="M16" i="24"/>
  <c r="M17" i="24"/>
  <c r="M18" i="24"/>
  <c r="M19" i="24"/>
  <c r="M20" i="24"/>
  <c r="M21" i="24"/>
  <c r="M22" i="24"/>
  <c r="M23" i="24"/>
  <c r="M24" i="24"/>
  <c r="M25" i="24"/>
  <c r="M26" i="24"/>
  <c r="M10" i="24"/>
  <c r="AA10" i="24"/>
  <c r="AA11" i="24"/>
  <c r="AA12" i="24"/>
  <c r="AA13" i="24"/>
  <c r="AA14" i="24"/>
  <c r="AA15" i="24"/>
  <c r="AA16" i="24"/>
  <c r="AA17" i="24"/>
  <c r="AA18" i="24"/>
  <c r="AA19" i="24"/>
  <c r="AA20" i="24"/>
  <c r="AA21" i="24"/>
  <c r="AA22" i="24"/>
  <c r="AA23" i="24"/>
  <c r="AA24" i="24"/>
  <c r="AA25" i="24"/>
  <c r="AA26" i="24"/>
  <c r="AA9" i="24"/>
  <c r="C43" i="12"/>
  <c r="E43" i="12"/>
  <c r="E52" i="12" s="1"/>
  <c r="F43" i="12"/>
  <c r="F52" i="12" s="1"/>
  <c r="D41" i="9" l="1"/>
  <c r="C40" i="9"/>
  <c r="A21" i="9"/>
  <c r="A22" i="9"/>
  <c r="C41" i="9"/>
  <c r="B36" i="9"/>
  <c r="D21" i="9"/>
  <c r="C45" i="9"/>
  <c r="E45" i="9" s="1"/>
  <c r="D38" i="9"/>
  <c r="A39" i="9"/>
  <c r="F41" i="9"/>
  <c r="D45" i="9"/>
  <c r="F43" i="9"/>
  <c r="C42" i="9"/>
  <c r="F44" i="9"/>
  <c r="D19" i="9"/>
  <c r="B17" i="9"/>
  <c r="F20" i="9"/>
  <c r="D20" i="9"/>
  <c r="F39" i="9"/>
  <c r="B38" i="9"/>
  <c r="B42" i="9"/>
  <c r="C16" i="9"/>
  <c r="C18" i="9"/>
  <c r="D39" i="9"/>
  <c r="A43" i="9"/>
  <c r="F36" i="9"/>
  <c r="C36" i="9"/>
  <c r="B21" i="9"/>
  <c r="C23" i="9"/>
  <c r="B18" i="9"/>
  <c r="D18" i="9"/>
  <c r="C21" i="9"/>
  <c r="B41" i="9"/>
  <c r="C44" i="9"/>
  <c r="E44" i="9" s="1"/>
  <c r="D43" i="9"/>
  <c r="A41" i="9"/>
  <c r="A38" i="9"/>
  <c r="F45" i="9"/>
  <c r="B20" i="9"/>
  <c r="F17" i="9"/>
  <c r="F23" i="9"/>
  <c r="D17" i="9"/>
  <c r="A44" i="9"/>
  <c r="B44" i="9"/>
  <c r="C38" i="9"/>
  <c r="A45" i="9"/>
  <c r="C37" i="9"/>
  <c r="D36" i="9"/>
  <c r="D40" i="9"/>
  <c r="F42" i="9"/>
  <c r="B43" i="9"/>
  <c r="A36" i="9"/>
  <c r="D44" i="9"/>
  <c r="B39" i="9"/>
  <c r="F37" i="9"/>
  <c r="C17" i="9"/>
  <c r="D22" i="9"/>
  <c r="C19" i="9"/>
  <c r="F22" i="9"/>
  <c r="B23" i="9"/>
  <c r="A20" i="9"/>
  <c r="A17" i="9"/>
  <c r="F18" i="9"/>
  <c r="A23" i="9"/>
  <c r="F19" i="9"/>
  <c r="F16" i="9"/>
  <c r="A40" i="9"/>
  <c r="D42" i="9"/>
  <c r="B37" i="9"/>
  <c r="A37" i="9"/>
  <c r="F40" i="9"/>
  <c r="B45" i="9"/>
  <c r="C39" i="9"/>
  <c r="F38" i="9"/>
  <c r="B40" i="9"/>
  <c r="A42" i="9"/>
  <c r="C43" i="9"/>
  <c r="E43" i="9" s="1"/>
  <c r="D37" i="9"/>
  <c r="D23" i="9"/>
  <c r="F21" i="9"/>
  <c r="A18" i="9"/>
  <c r="C20" i="9"/>
  <c r="E20" i="9" s="1"/>
  <c r="C22" i="9"/>
  <c r="B19" i="9"/>
  <c r="B16" i="9"/>
  <c r="D16" i="9"/>
  <c r="B22" i="9"/>
  <c r="A19" i="9"/>
  <c r="H24" i="9"/>
  <c r="V24" i="9" s="1"/>
  <c r="X24" i="9" s="1"/>
  <c r="E24" i="9"/>
  <c r="I24" i="9"/>
  <c r="G24" i="9"/>
  <c r="E31" i="9"/>
  <c r="K31" i="9" s="1"/>
  <c r="E26" i="9"/>
  <c r="E30" i="9"/>
  <c r="E25" i="9"/>
  <c r="E40" i="9"/>
  <c r="E27" i="9"/>
  <c r="E28" i="9"/>
  <c r="E41" i="9"/>
  <c r="E38" i="9"/>
  <c r="E42" i="9"/>
  <c r="E18" i="9" l="1"/>
  <c r="E19" i="9"/>
  <c r="E21" i="9"/>
  <c r="E39" i="9"/>
  <c r="E17" i="9"/>
  <c r="E36" i="9"/>
  <c r="E22" i="9"/>
  <c r="E23" i="9"/>
  <c r="E37" i="9"/>
  <c r="F32" i="9"/>
  <c r="L32" i="9"/>
  <c r="M8" i="24"/>
  <c r="M31" i="9" l="1"/>
  <c r="E32" i="9"/>
  <c r="G22" i="9" s="1"/>
  <c r="F48" i="13"/>
  <c r="C48" i="13"/>
  <c r="G18" i="9" l="1"/>
  <c r="H18" i="9" s="1"/>
  <c r="V18" i="9" s="1"/>
  <c r="G20" i="9"/>
  <c r="H20" i="9" s="1"/>
  <c r="V20" i="9" s="1"/>
  <c r="G19" i="9"/>
  <c r="H19" i="9" s="1"/>
  <c r="V19" i="9" s="1"/>
  <c r="X19" i="9" s="1"/>
  <c r="G23" i="9"/>
  <c r="H23" i="9" s="1"/>
  <c r="V23" i="9" s="1"/>
  <c r="G21" i="9"/>
  <c r="H21" i="9" s="1"/>
  <c r="V21" i="9" s="1"/>
  <c r="G17" i="9"/>
  <c r="H17" i="9" s="1"/>
  <c r="V17" i="9" s="1"/>
  <c r="G16" i="9"/>
  <c r="I16" i="9" s="1"/>
  <c r="H22" i="9"/>
  <c r="V22" i="9" s="1"/>
  <c r="I22" i="9"/>
  <c r="N22" i="12"/>
  <c r="M22" i="12"/>
  <c r="L22" i="12"/>
  <c r="K22" i="12"/>
  <c r="J22" i="12"/>
  <c r="I18" i="9" l="1"/>
  <c r="I20" i="9"/>
  <c r="I21" i="9"/>
  <c r="I17" i="9"/>
  <c r="I23" i="9"/>
  <c r="I19" i="9"/>
  <c r="H16" i="9"/>
  <c r="V16" i="9" s="1"/>
  <c r="X16" i="9" s="1"/>
  <c r="J31" i="18"/>
  <c r="K44" i="5" l="1"/>
  <c r="D44" i="1" s="1"/>
  <c r="D42" i="1"/>
  <c r="G13" i="3" l="1"/>
  <c r="K9" i="14" l="1"/>
  <c r="K8" i="14"/>
  <c r="K7" i="14"/>
  <c r="K6" i="14"/>
  <c r="K5" i="14"/>
  <c r="K4" i="14"/>
  <c r="K3" i="14"/>
  <c r="K2" i="14"/>
  <c r="L9" i="24" l="1"/>
  <c r="L7" i="24"/>
  <c r="L5" i="24"/>
  <c r="L3" i="24"/>
  <c r="L8" i="24"/>
  <c r="L6" i="24"/>
  <c r="L4" i="24"/>
  <c r="L2" i="24"/>
  <c r="G51" i="24" l="1"/>
  <c r="G50" i="24"/>
  <c r="G47" i="24"/>
  <c r="J2" i="24"/>
  <c r="D2" i="24"/>
  <c r="J1" i="24"/>
  <c r="D1" i="24"/>
  <c r="I47" i="24" l="1"/>
  <c r="J47" i="24"/>
  <c r="H50" i="24"/>
  <c r="J52" i="24" l="1"/>
  <c r="I52" i="24"/>
  <c r="H2" i="19"/>
  <c r="B2" i="19"/>
  <c r="H1" i="19"/>
  <c r="B1" i="19"/>
  <c r="I2" i="18"/>
  <c r="B2" i="18"/>
  <c r="I1" i="18"/>
  <c r="B1" i="18"/>
  <c r="H37" i="17"/>
  <c r="C37" i="17"/>
  <c r="D37" i="17" s="1"/>
  <c r="C34" i="17"/>
  <c r="E34" i="17" s="1"/>
  <c r="C31" i="17"/>
  <c r="D31" i="17" s="1"/>
  <c r="H2" i="17"/>
  <c r="B2" i="17"/>
  <c r="H1" i="17"/>
  <c r="B1" i="17"/>
  <c r="F41" i="13"/>
  <c r="C41" i="13"/>
  <c r="F17" i="13"/>
  <c r="C17" i="13"/>
  <c r="F13" i="13"/>
  <c r="C13" i="13"/>
  <c r="H2" i="13"/>
  <c r="B2" i="13"/>
  <c r="H1" i="13"/>
  <c r="B1" i="13"/>
  <c r="K35" i="12"/>
  <c r="M35" i="12" s="1"/>
  <c r="B23" i="12"/>
  <c r="F22" i="12"/>
  <c r="E22" i="12"/>
  <c r="D22" i="12"/>
  <c r="C22" i="12"/>
  <c r="B22" i="12"/>
  <c r="B20" i="12"/>
  <c r="H2" i="12"/>
  <c r="B2" i="12"/>
  <c r="H1" i="12"/>
  <c r="B1" i="12"/>
  <c r="E26" i="11"/>
  <c r="C26" i="11"/>
  <c r="F26" i="11" s="1"/>
  <c r="E25" i="11"/>
  <c r="C25" i="11"/>
  <c r="F25" i="11" s="1"/>
  <c r="E24" i="11"/>
  <c r="C24" i="11"/>
  <c r="F24" i="11" s="1"/>
  <c r="E23" i="11"/>
  <c r="C23" i="11"/>
  <c r="F23" i="11" s="1"/>
  <c r="G20" i="11"/>
  <c r="E20" i="11"/>
  <c r="F20" i="11"/>
  <c r="E18" i="11"/>
  <c r="G18" i="11"/>
  <c r="E17" i="11"/>
  <c r="G17" i="11"/>
  <c r="E16" i="11"/>
  <c r="E15" i="11"/>
  <c r="E14" i="11"/>
  <c r="G14" i="11"/>
  <c r="E13" i="11"/>
  <c r="G13" i="11"/>
  <c r="E12" i="11"/>
  <c r="E11" i="11"/>
  <c r="E10" i="11"/>
  <c r="G10" i="11"/>
  <c r="G2" i="11"/>
  <c r="B2" i="11"/>
  <c r="G1" i="11"/>
  <c r="B1" i="11"/>
  <c r="I2" i="10"/>
  <c r="B2" i="10"/>
  <c r="I1" i="10"/>
  <c r="B1" i="10"/>
  <c r="F46" i="9"/>
  <c r="C46" i="9"/>
  <c r="C32" i="9"/>
  <c r="I2" i="9"/>
  <c r="B2" i="9"/>
  <c r="I1" i="9"/>
  <c r="B1" i="9"/>
  <c r="E40" i="8"/>
  <c r="B40" i="8"/>
  <c r="H2" i="8"/>
  <c r="B2" i="8"/>
  <c r="H1" i="8"/>
  <c r="B1" i="8"/>
  <c r="J2" i="5"/>
  <c r="B2" i="5"/>
  <c r="J1" i="5"/>
  <c r="B1" i="5"/>
  <c r="F25" i="4"/>
  <c r="H25" i="4" s="1"/>
  <c r="F24" i="4"/>
  <c r="H24" i="4" s="1"/>
  <c r="H11" i="4"/>
  <c r="H2" i="4"/>
  <c r="B2" i="4"/>
  <c r="H1" i="4"/>
  <c r="B1" i="4"/>
  <c r="H2" i="3"/>
  <c r="B2" i="3"/>
  <c r="H1" i="3"/>
  <c r="B1" i="3"/>
  <c r="E2" i="2"/>
  <c r="B2" i="2"/>
  <c r="E1" i="2"/>
  <c r="B1" i="2"/>
  <c r="G55" i="12" l="1"/>
  <c r="H55" i="12"/>
  <c r="F13" i="11"/>
  <c r="F10" i="11"/>
  <c r="G12" i="4"/>
  <c r="G24" i="11"/>
  <c r="G23" i="11"/>
  <c r="K19" i="12"/>
  <c r="K18" i="12"/>
  <c r="G24" i="4"/>
  <c r="H19" i="17"/>
  <c r="H21" i="17"/>
  <c r="F44" i="12"/>
  <c r="F56" i="12" s="1"/>
  <c r="D44" i="12"/>
  <c r="E44" i="12"/>
  <c r="E56" i="12" s="1"/>
  <c r="L36" i="9"/>
  <c r="M36" i="9" s="1"/>
  <c r="L37" i="9"/>
  <c r="M37" i="9" s="1"/>
  <c r="L39" i="9"/>
  <c r="M39" i="9" s="1"/>
  <c r="L41" i="9"/>
  <c r="M41" i="9" s="1"/>
  <c r="L43" i="9"/>
  <c r="M43" i="9" s="1"/>
  <c r="L45" i="9"/>
  <c r="M45" i="9" s="1"/>
  <c r="L40" i="9"/>
  <c r="M40" i="9" s="1"/>
  <c r="L38" i="9"/>
  <c r="M38" i="9" s="1"/>
  <c r="L44" i="9"/>
  <c r="M44" i="9" s="1"/>
  <c r="L42" i="9"/>
  <c r="M42" i="9" s="1"/>
  <c r="L35" i="12"/>
  <c r="L43" i="12"/>
  <c r="N43" i="12"/>
  <c r="M43" i="12"/>
  <c r="G41" i="13"/>
  <c r="H48" i="13"/>
  <c r="G48" i="13"/>
  <c r="E41" i="13"/>
  <c r="D48" i="13"/>
  <c r="E48" i="13"/>
  <c r="F17" i="11"/>
  <c r="G25" i="11"/>
  <c r="G26" i="11"/>
  <c r="D40" i="8"/>
  <c r="F14" i="11"/>
  <c r="D41" i="13"/>
  <c r="E31" i="17"/>
  <c r="E37" i="17"/>
  <c r="F18" i="11"/>
  <c r="H41" i="13"/>
  <c r="G37" i="17"/>
  <c r="E46" i="9"/>
  <c r="E17" i="13"/>
  <c r="D17" i="13"/>
  <c r="G11" i="4"/>
  <c r="G25" i="4"/>
  <c r="G12" i="11"/>
  <c r="F12" i="11"/>
  <c r="G15" i="11"/>
  <c r="F15" i="11"/>
  <c r="G11" i="11"/>
  <c r="F11" i="11"/>
  <c r="G16" i="11"/>
  <c r="F16" i="11"/>
  <c r="G19" i="11"/>
  <c r="F19" i="11"/>
  <c r="H13" i="13"/>
  <c r="G13" i="13"/>
  <c r="H17" i="13"/>
  <c r="G17" i="13"/>
  <c r="E13" i="13"/>
  <c r="D13" i="13"/>
  <c r="D34" i="17"/>
  <c r="I66" i="13" l="1"/>
  <c r="F44" i="1" s="1"/>
  <c r="I44" i="4"/>
  <c r="D43" i="1" s="1"/>
  <c r="H24" i="17"/>
  <c r="G24" i="17"/>
  <c r="I49" i="17"/>
  <c r="F47" i="1" s="1"/>
  <c r="G52" i="8"/>
  <c r="H52" i="8"/>
  <c r="F42" i="12"/>
  <c r="F48" i="12" s="1"/>
  <c r="E42" i="12"/>
  <c r="E48" i="12" s="1"/>
  <c r="B42" i="12"/>
  <c r="B48" i="12" s="1"/>
  <c r="K29" i="9"/>
  <c r="K30" i="9"/>
  <c r="K27" i="9"/>
  <c r="K28" i="9"/>
  <c r="K21" i="9"/>
  <c r="K20" i="9"/>
  <c r="K17" i="9"/>
  <c r="K22" i="9"/>
  <c r="K18" i="9"/>
  <c r="K19" i="9"/>
  <c r="K24" i="9"/>
  <c r="K23" i="9"/>
  <c r="K26" i="9"/>
  <c r="K25" i="9"/>
  <c r="K16" i="9"/>
  <c r="G45" i="9"/>
  <c r="K42" i="9"/>
  <c r="G38" i="9"/>
  <c r="G44" i="9"/>
  <c r="K40" i="9"/>
  <c r="K43" i="9"/>
  <c r="K45" i="9"/>
  <c r="G41" i="9"/>
  <c r="K38" i="9"/>
  <c r="K44" i="9"/>
  <c r="K39" i="9"/>
  <c r="G43" i="9"/>
  <c r="K37" i="9"/>
  <c r="K41" i="9"/>
  <c r="G37" i="9"/>
  <c r="G39" i="9"/>
  <c r="G42" i="9"/>
  <c r="G40" i="9"/>
  <c r="K36" i="9"/>
  <c r="G36" i="9"/>
  <c r="G27" i="9"/>
  <c r="G26" i="9"/>
  <c r="G29" i="9"/>
  <c r="G28" i="9"/>
  <c r="G31" i="9"/>
  <c r="G30" i="9"/>
  <c r="G25" i="9"/>
  <c r="F47" i="9"/>
  <c r="H60" i="11" l="1"/>
  <c r="F42" i="1" s="1"/>
  <c r="E33" i="9"/>
  <c r="L40" i="10"/>
  <c r="L42" i="10" s="1"/>
  <c r="D17" i="10" s="1"/>
  <c r="I36" i="9"/>
  <c r="H36" i="9"/>
  <c r="V36" i="9" s="1"/>
  <c r="X36" i="9" s="1"/>
  <c r="L29" i="9"/>
  <c r="M29" i="9" s="1"/>
  <c r="L30" i="9"/>
  <c r="M30" i="9" s="1"/>
  <c r="L27" i="9"/>
  <c r="M27" i="9" s="1"/>
  <c r="L28" i="9"/>
  <c r="M28" i="9" s="1"/>
  <c r="L26" i="9"/>
  <c r="M26" i="9" s="1"/>
  <c r="L22" i="9"/>
  <c r="M22" i="9" s="1"/>
  <c r="L24" i="9"/>
  <c r="M24" i="9" s="1"/>
  <c r="L23" i="9"/>
  <c r="M23" i="9" s="1"/>
  <c r="L20" i="9"/>
  <c r="M20" i="9" s="1"/>
  <c r="L25" i="9"/>
  <c r="M25" i="9" s="1"/>
  <c r="L19" i="9"/>
  <c r="M19" i="9" s="1"/>
  <c r="L18" i="9"/>
  <c r="M18" i="9" s="1"/>
  <c r="L17" i="9"/>
  <c r="M17" i="9" s="1"/>
  <c r="L21" i="9"/>
  <c r="M21" i="9" s="1"/>
  <c r="L16" i="9"/>
  <c r="H29" i="9"/>
  <c r="V29" i="9" s="1"/>
  <c r="X29" i="9" s="1"/>
  <c r="I29" i="9"/>
  <c r="E47" i="9"/>
  <c r="I247" i="8"/>
  <c r="I193" i="8"/>
  <c r="I90" i="8"/>
  <c r="I272" i="8"/>
  <c r="I311" i="8"/>
  <c r="I307" i="8"/>
  <c r="I216" i="8"/>
  <c r="I283" i="8"/>
  <c r="I177" i="8"/>
  <c r="I257" i="8"/>
  <c r="I165" i="8"/>
  <c r="I101" i="8"/>
  <c r="I81" i="8"/>
  <c r="I158" i="8"/>
  <c r="I237" i="8"/>
  <c r="I105" i="8"/>
  <c r="I222" i="8"/>
  <c r="I328" i="8"/>
  <c r="I276" i="8"/>
  <c r="I198" i="8"/>
  <c r="I284" i="8"/>
  <c r="I286" i="8"/>
  <c r="I77" i="8"/>
  <c r="I246" i="8"/>
  <c r="I129" i="8"/>
  <c r="I76" i="8"/>
  <c r="I229" i="8"/>
  <c r="I203" i="8"/>
  <c r="I164" i="8"/>
  <c r="I270" i="8"/>
  <c r="I127" i="8"/>
  <c r="I178" i="8"/>
  <c r="I322" i="8"/>
  <c r="I159" i="8"/>
  <c r="I80" i="8"/>
  <c r="I274" i="8"/>
  <c r="I183" i="8"/>
  <c r="I89" i="8"/>
  <c r="I167" i="8"/>
  <c r="I220" i="8"/>
  <c r="I115" i="8"/>
  <c r="I116" i="8"/>
  <c r="I245" i="8"/>
  <c r="I143" i="8"/>
  <c r="I195" i="8"/>
  <c r="I298" i="8"/>
  <c r="I232" i="8"/>
  <c r="I260" i="8"/>
  <c r="I130" i="8"/>
  <c r="I312" i="8"/>
  <c r="I155" i="8"/>
  <c r="I182" i="8"/>
  <c r="I204" i="8"/>
  <c r="I166" i="8"/>
  <c r="I112" i="8"/>
  <c r="I74" i="8"/>
  <c r="I281" i="8"/>
  <c r="I243" i="8"/>
  <c r="I140" i="8"/>
  <c r="I242" i="8"/>
  <c r="I138" i="8"/>
  <c r="I309" i="8"/>
  <c r="I153" i="8"/>
  <c r="I139" i="8"/>
  <c r="I269" i="8"/>
  <c r="I73" i="8"/>
  <c r="I191" i="8"/>
  <c r="I313" i="8"/>
  <c r="I196" i="8"/>
  <c r="I107" i="8"/>
  <c r="I250" i="8"/>
  <c r="I248" i="8"/>
  <c r="I92" i="8"/>
  <c r="I197" i="8"/>
  <c r="I300" i="8"/>
  <c r="I235" i="8"/>
  <c r="I262" i="8"/>
  <c r="I120" i="8"/>
  <c r="I106" i="8"/>
  <c r="I185" i="8"/>
  <c r="I146" i="8"/>
  <c r="I302" i="8"/>
  <c r="I323" i="8"/>
  <c r="I206" i="8"/>
  <c r="I169" i="8"/>
  <c r="I273" i="8"/>
  <c r="I310" i="8"/>
  <c r="I117" i="8"/>
  <c r="I285" i="8"/>
  <c r="I295" i="8"/>
  <c r="I244" i="8"/>
  <c r="I179" i="8"/>
  <c r="I192" i="8"/>
  <c r="I296" i="8"/>
  <c r="I126" i="8"/>
  <c r="I231" i="8"/>
  <c r="I288" i="8"/>
  <c r="I249" i="8"/>
  <c r="I132" i="8"/>
  <c r="I172" i="8"/>
  <c r="I314" i="8"/>
  <c r="I145" i="8"/>
  <c r="I119" i="8"/>
  <c r="I299" i="8"/>
  <c r="I208" i="8"/>
  <c r="I259" i="8"/>
  <c r="I324" i="8"/>
  <c r="I325" i="8"/>
  <c r="I91" i="8"/>
  <c r="I221" i="8"/>
  <c r="I156" i="8"/>
  <c r="I282" i="8"/>
  <c r="I75" i="8"/>
  <c r="I217" i="8"/>
  <c r="I100" i="8"/>
  <c r="I321" i="8"/>
  <c r="I230" i="8"/>
  <c r="I144" i="8"/>
  <c r="I118" i="8"/>
  <c r="I315" i="8"/>
  <c r="I263" i="8"/>
  <c r="I184" i="8"/>
  <c r="I94" i="8"/>
  <c r="I171" i="8"/>
  <c r="I301" i="8"/>
  <c r="I236" i="8"/>
  <c r="I223" i="8"/>
  <c r="I297" i="8"/>
  <c r="I78" i="8"/>
  <c r="I141" i="8"/>
  <c r="I258" i="8"/>
  <c r="I180" i="8"/>
  <c r="I271" i="8"/>
  <c r="I103" i="8"/>
  <c r="I142" i="8"/>
  <c r="I194" i="8"/>
  <c r="I233" i="8"/>
  <c r="I207" i="8"/>
  <c r="I294" i="8"/>
  <c r="I256" i="8"/>
  <c r="I87" i="8"/>
  <c r="I151" i="8"/>
  <c r="I190" i="8"/>
  <c r="I152" i="8"/>
  <c r="I255" i="8"/>
  <c r="I320" i="8"/>
  <c r="I99" i="8"/>
  <c r="I308" i="8"/>
  <c r="I205" i="8"/>
  <c r="I113" i="8"/>
  <c r="I114" i="8"/>
  <c r="I88" i="8"/>
  <c r="I218" i="8"/>
  <c r="I211" i="8"/>
  <c r="I209" i="8"/>
  <c r="I289" i="8"/>
  <c r="I157" i="8"/>
  <c r="I131" i="8"/>
  <c r="I287" i="8"/>
  <c r="I275" i="8"/>
  <c r="I170" i="8"/>
  <c r="I261" i="8"/>
  <c r="I224" i="8"/>
  <c r="I93" i="8"/>
  <c r="I133" i="8"/>
  <c r="I210" i="8"/>
  <c r="I79" i="8"/>
  <c r="I327" i="8"/>
  <c r="I181" i="8"/>
  <c r="I102" i="8"/>
  <c r="I128" i="8"/>
  <c r="I154" i="8"/>
  <c r="I104" i="8"/>
  <c r="I168" i="8"/>
  <c r="I234" i="8"/>
  <c r="I219" i="8"/>
  <c r="I268" i="8"/>
  <c r="I125" i="8"/>
  <c r="I86" i="8"/>
  <c r="I326" i="8"/>
  <c r="I27" i="9"/>
  <c r="H27" i="9"/>
  <c r="V27" i="9" s="1"/>
  <c r="X27" i="9" s="1"/>
  <c r="I31" i="9"/>
  <c r="H31" i="9"/>
  <c r="V31" i="9" s="1"/>
  <c r="X31" i="9" s="1"/>
  <c r="H43" i="9"/>
  <c r="V43" i="9" s="1"/>
  <c r="X43" i="9" s="1"/>
  <c r="I43" i="9"/>
  <c r="I38" i="9"/>
  <c r="H38" i="9"/>
  <c r="V38" i="9" s="1"/>
  <c r="X38" i="9" s="1"/>
  <c r="I25" i="9"/>
  <c r="H25" i="9"/>
  <c r="V25" i="9" s="1"/>
  <c r="I26" i="9"/>
  <c r="H26" i="9"/>
  <c r="V26" i="9" s="1"/>
  <c r="X26" i="9" s="1"/>
  <c r="H41" i="9"/>
  <c r="V41" i="9" s="1"/>
  <c r="X41" i="9" s="1"/>
  <c r="I41" i="9"/>
  <c r="H39" i="9"/>
  <c r="V39" i="9" s="1"/>
  <c r="I39" i="9"/>
  <c r="I42" i="9"/>
  <c r="H42" i="9"/>
  <c r="V42" i="9" s="1"/>
  <c r="X42" i="9" s="1"/>
  <c r="H45" i="9"/>
  <c r="V45" i="9" s="1"/>
  <c r="X45" i="9" s="1"/>
  <c r="I45" i="9"/>
  <c r="H37" i="9"/>
  <c r="V37" i="9" s="1"/>
  <c r="I37" i="9"/>
  <c r="I44" i="9"/>
  <c r="H44" i="9"/>
  <c r="V44" i="9" s="1"/>
  <c r="X44" i="9" s="1"/>
  <c r="I40" i="9"/>
  <c r="H40" i="9"/>
  <c r="V40" i="9" s="1"/>
  <c r="X40" i="9" s="1"/>
  <c r="I30" i="9"/>
  <c r="H30" i="9"/>
  <c r="V30" i="9" s="1"/>
  <c r="X30" i="9" s="1"/>
  <c r="I28" i="9"/>
  <c r="H28" i="9"/>
  <c r="V28" i="9" s="1"/>
  <c r="X28" i="9" s="1"/>
  <c r="G59" i="12" l="1"/>
  <c r="H59" i="12"/>
  <c r="E30" i="10"/>
  <c r="G17" i="10"/>
  <c r="F33" i="9"/>
  <c r="W34" i="9"/>
  <c r="X39" i="9" s="1"/>
  <c r="X25" i="9"/>
  <c r="W14" i="9"/>
  <c r="V46" i="9"/>
  <c r="M16" i="9"/>
  <c r="I69" i="8"/>
  <c r="J23" i="12"/>
  <c r="P23" i="12" s="1"/>
  <c r="J60" i="9"/>
  <c r="D48" i="1" s="1"/>
  <c r="I68" i="8"/>
  <c r="D47" i="1" l="1"/>
  <c r="I17" i="10"/>
  <c r="H17" i="10"/>
  <c r="G30" i="10"/>
  <c r="F30" i="10"/>
  <c r="H30" i="10" s="1"/>
  <c r="X37" i="9"/>
  <c r="X18" i="9"/>
  <c r="X17" i="9"/>
  <c r="X21" i="9"/>
  <c r="X20" i="9"/>
  <c r="X22" i="9"/>
  <c r="X23" i="9"/>
  <c r="H21" i="12"/>
  <c r="G21" i="12"/>
  <c r="I30" i="10" l="1"/>
  <c r="J37" i="10"/>
  <c r="D49" i="1" s="1"/>
  <c r="X34" i="9"/>
  <c r="W35" i="9" s="1"/>
  <c r="W37" i="9" s="1"/>
  <c r="B54" i="9" s="1"/>
  <c r="H51" i="12" l="1"/>
  <c r="I64" i="12" s="1"/>
  <c r="F43" i="1" s="1"/>
  <c r="G51" i="12"/>
  <c r="AG9" i="24"/>
  <c r="AB9" i="24"/>
  <c r="AH9" i="24" s="1"/>
  <c r="AL3" i="24" s="1"/>
  <c r="X9" i="24" l="1"/>
  <c r="Y9" i="24" s="1"/>
  <c r="AC10" i="24"/>
  <c r="N10" i="24" s="1"/>
  <c r="AC24" i="24"/>
  <c r="N24" i="24" s="1"/>
  <c r="AC22" i="24"/>
  <c r="N22" i="24" s="1"/>
  <c r="AC26" i="24"/>
  <c r="N26" i="24" s="1"/>
  <c r="AC16" i="24"/>
  <c r="N16" i="24" s="1"/>
  <c r="AC11" i="24"/>
  <c r="N11" i="24" s="1"/>
  <c r="AC13" i="24"/>
  <c r="N13" i="24" s="1"/>
  <c r="AC21" i="24"/>
  <c r="N21" i="24" s="1"/>
  <c r="AC18" i="24"/>
  <c r="N18" i="24" s="1"/>
  <c r="AC12" i="24"/>
  <c r="N12" i="24" s="1"/>
  <c r="AC14" i="24"/>
  <c r="N14" i="24" s="1"/>
  <c r="AC17" i="24"/>
  <c r="N17" i="24" s="1"/>
  <c r="AC23" i="24"/>
  <c r="N23" i="24" s="1"/>
  <c r="AC19" i="24"/>
  <c r="N19" i="24" s="1"/>
  <c r="AG26" i="24"/>
  <c r="AC25" i="24"/>
  <c r="N25" i="24" s="1"/>
  <c r="AC20" i="24"/>
  <c r="N20" i="24" s="1"/>
  <c r="AC15" i="24"/>
  <c r="N15" i="24" s="1"/>
  <c r="AB26" i="24"/>
  <c r="AH26" i="24" s="1"/>
  <c r="AL2" i="24" l="1"/>
  <c r="X26" i="24"/>
  <c r="Y26" i="24" s="1"/>
  <c r="AH11" i="24" l="1"/>
  <c r="X11" i="24" s="1"/>
  <c r="Y11" i="24" s="1"/>
  <c r="AG11" i="24" s="1"/>
  <c r="AH21" i="24"/>
  <c r="X21" i="24" s="1"/>
  <c r="Y21" i="24" s="1"/>
  <c r="AG21" i="24" s="1"/>
  <c r="AH19" i="24"/>
  <c r="X19" i="24" s="1"/>
  <c r="Y19" i="24" s="1"/>
  <c r="AG19" i="24" s="1"/>
  <c r="AH12" i="24"/>
  <c r="X12" i="24" s="1"/>
  <c r="Y12" i="24" s="1"/>
  <c r="AG12" i="24" s="1"/>
  <c r="AH25" i="24"/>
  <c r="X25" i="24" s="1"/>
  <c r="Y25" i="24" s="1"/>
  <c r="AG25" i="24" s="1"/>
  <c r="AH20" i="24"/>
  <c r="X20" i="24" s="1"/>
  <c r="Y20" i="24" s="1"/>
  <c r="AG20" i="24" s="1"/>
  <c r="AH14" i="24"/>
  <c r="X14" i="24" s="1"/>
  <c r="Y14" i="24" s="1"/>
  <c r="AG14" i="24" s="1"/>
  <c r="AH13" i="24"/>
  <c r="X13" i="24" s="1"/>
  <c r="Y13" i="24" s="1"/>
  <c r="AG13" i="24" s="1"/>
  <c r="AH22" i="24"/>
  <c r="X22" i="24" s="1"/>
  <c r="Y22" i="24" s="1"/>
  <c r="AG22" i="24" s="1"/>
  <c r="AH10" i="24"/>
  <c r="X10" i="24" s="1"/>
  <c r="Y10" i="24" s="1"/>
  <c r="AG10" i="24" s="1"/>
  <c r="Q10" i="24" s="1"/>
  <c r="W10" i="24" s="1"/>
  <c r="C10" i="24" s="1"/>
  <c r="AH18" i="24"/>
  <c r="X18" i="24" s="1"/>
  <c r="Y18" i="24" s="1"/>
  <c r="AG18" i="24" s="1"/>
  <c r="AH15" i="24"/>
  <c r="X15" i="24" s="1"/>
  <c r="Y15" i="24" s="1"/>
  <c r="AG15" i="24" s="1"/>
  <c r="AH16" i="24"/>
  <c r="X16" i="24" s="1"/>
  <c r="Y16" i="24" s="1"/>
  <c r="AG16" i="24" s="1"/>
  <c r="AH23" i="24"/>
  <c r="X23" i="24" s="1"/>
  <c r="Y23" i="24" s="1"/>
  <c r="AG23" i="24" s="1"/>
  <c r="AH24" i="24"/>
  <c r="X24" i="24" s="1"/>
  <c r="Y24" i="24" s="1"/>
  <c r="AG24" i="24" s="1"/>
  <c r="AH17" i="24"/>
  <c r="X17" i="24" s="1"/>
  <c r="Y17" i="24" s="1"/>
  <c r="AG17" i="24" s="1"/>
  <c r="Q13" i="24" l="1"/>
  <c r="W13" i="24" s="1"/>
  <c r="C13" i="24" s="1"/>
  <c r="Q22" i="24"/>
  <c r="Q24" i="24"/>
  <c r="S24" i="24" s="1"/>
  <c r="Q18" i="24"/>
  <c r="Q14" i="24"/>
  <c r="Q16" i="24"/>
  <c r="Q11" i="24"/>
  <c r="P11" i="24" s="1"/>
  <c r="Q25" i="24"/>
  <c r="W25" i="24" s="1"/>
  <c r="C25" i="24" s="1"/>
  <c r="Q26" i="24"/>
  <c r="W26" i="24" s="1"/>
  <c r="C26" i="24" s="1"/>
  <c r="Q17" i="24"/>
  <c r="W17" i="24" s="1"/>
  <c r="C17" i="24" s="1"/>
  <c r="Q15" i="24"/>
  <c r="W15" i="24" s="1"/>
  <c r="C15" i="24" s="1"/>
  <c r="P13" i="24"/>
  <c r="O13" i="24"/>
  <c r="R13" i="24"/>
  <c r="S13" i="24"/>
  <c r="Q12" i="24"/>
  <c r="W12" i="24" s="1"/>
  <c r="C12" i="24" s="1"/>
  <c r="Q19" i="24"/>
  <c r="W19" i="24" s="1"/>
  <c r="C19" i="24" s="1"/>
  <c r="Q23" i="24"/>
  <c r="W23" i="24" s="1"/>
  <c r="C23" i="24" s="1"/>
  <c r="S10" i="24"/>
  <c r="R10" i="24"/>
  <c r="O10" i="24"/>
  <c r="P10" i="24"/>
  <c r="Q20" i="24"/>
  <c r="W20" i="24" s="1"/>
  <c r="C20" i="24" s="1"/>
  <c r="Q21" i="24"/>
  <c r="W21" i="24" s="1"/>
  <c r="C21" i="24" s="1"/>
  <c r="S11" i="24" l="1"/>
  <c r="S18" i="24"/>
  <c r="W18" i="24"/>
  <c r="C18" i="24" s="1"/>
  <c r="S14" i="24"/>
  <c r="W14" i="24"/>
  <c r="C14" i="24" s="1"/>
  <c r="O11" i="24"/>
  <c r="W11" i="24"/>
  <c r="C11" i="24" s="1"/>
  <c r="O24" i="24"/>
  <c r="U24" i="24" s="1"/>
  <c r="W24" i="24"/>
  <c r="C24" i="24" s="1"/>
  <c r="S16" i="24"/>
  <c r="W16" i="24"/>
  <c r="C16" i="24" s="1"/>
  <c r="S22" i="24"/>
  <c r="U22" i="24" s="1"/>
  <c r="W22" i="24"/>
  <c r="C22" i="24" s="1"/>
  <c r="P24" i="24"/>
  <c r="P22" i="24"/>
  <c r="R11" i="24"/>
  <c r="V11" i="24" s="1"/>
  <c r="R24" i="24"/>
  <c r="O22" i="24"/>
  <c r="P18" i="24"/>
  <c r="O18" i="24"/>
  <c r="U18" i="24" s="1"/>
  <c r="R22" i="24"/>
  <c r="O14" i="24"/>
  <c r="P14" i="24"/>
  <c r="R14" i="24"/>
  <c r="R18" i="24"/>
  <c r="V10" i="24"/>
  <c r="O16" i="24"/>
  <c r="U16" i="24" s="1"/>
  <c r="U11" i="24"/>
  <c r="R16" i="24"/>
  <c r="V13" i="24"/>
  <c r="P16" i="24"/>
  <c r="T13" i="24"/>
  <c r="P21" i="24"/>
  <c r="R21" i="24"/>
  <c r="O21" i="24"/>
  <c r="S21" i="24"/>
  <c r="S12" i="24"/>
  <c r="O12" i="24"/>
  <c r="R12" i="24"/>
  <c r="P12" i="24"/>
  <c r="P25" i="24"/>
  <c r="O25" i="24"/>
  <c r="R25" i="24"/>
  <c r="S25" i="24"/>
  <c r="S20" i="24"/>
  <c r="R20" i="24"/>
  <c r="P20" i="24"/>
  <c r="O20" i="24"/>
  <c r="P15" i="24"/>
  <c r="O15" i="24"/>
  <c r="S15" i="24"/>
  <c r="R15" i="24"/>
  <c r="T10" i="24"/>
  <c r="P23" i="24"/>
  <c r="O23" i="24"/>
  <c r="S23" i="24"/>
  <c r="R23" i="24"/>
  <c r="P17" i="24"/>
  <c r="O17" i="24"/>
  <c r="R17" i="24"/>
  <c r="S17" i="24"/>
  <c r="U10" i="24"/>
  <c r="P19" i="24"/>
  <c r="O19" i="24"/>
  <c r="S19" i="24"/>
  <c r="R19" i="24"/>
  <c r="U13" i="24"/>
  <c r="S26" i="24"/>
  <c r="R26" i="24"/>
  <c r="O26" i="24"/>
  <c r="P26" i="24"/>
  <c r="V24" i="24" l="1"/>
  <c r="T11" i="24"/>
  <c r="T24" i="24"/>
  <c r="U14" i="24"/>
  <c r="V22" i="24"/>
  <c r="V18" i="24"/>
  <c r="T22" i="24"/>
  <c r="V14" i="24"/>
  <c r="T14" i="24"/>
  <c r="V26" i="24"/>
  <c r="V20" i="24"/>
  <c r="V21" i="24"/>
  <c r="T18" i="24"/>
  <c r="V25" i="24"/>
  <c r="V19" i="24"/>
  <c r="V12" i="24"/>
  <c r="V17" i="24"/>
  <c r="V23" i="24"/>
  <c r="U15" i="24"/>
  <c r="T16" i="24"/>
  <c r="V16" i="24"/>
  <c r="V15" i="24"/>
  <c r="U25" i="24"/>
  <c r="U19" i="24"/>
  <c r="T25" i="24"/>
  <c r="T21" i="24"/>
  <c r="T26" i="24"/>
  <c r="T23" i="24"/>
  <c r="T20" i="24"/>
  <c r="U21" i="24"/>
  <c r="T19" i="24"/>
  <c r="U17" i="24"/>
  <c r="U23" i="24"/>
  <c r="U20" i="24"/>
  <c r="T12" i="24"/>
  <c r="T17" i="24"/>
  <c r="U26" i="24"/>
  <c r="T15" i="24"/>
  <c r="U12" i="24"/>
  <c r="U27" i="24" l="1"/>
  <c r="T27" i="24"/>
  <c r="I26" i="24" l="1"/>
  <c r="J26" i="24"/>
  <c r="AG31" i="24"/>
  <c r="AB31" i="24"/>
  <c r="AH31" i="24" s="1"/>
  <c r="AK52" i="24" l="1"/>
  <c r="X31" i="24"/>
  <c r="Y31" i="24" s="1"/>
  <c r="AC42" i="24"/>
  <c r="N42" i="24" s="1"/>
  <c r="AC48" i="24"/>
  <c r="N48" i="24" s="1"/>
  <c r="AC36" i="24"/>
  <c r="N36" i="24" s="1"/>
  <c r="AC38" i="24"/>
  <c r="N38" i="24" s="1"/>
  <c r="AC32" i="24"/>
  <c r="N32" i="24" s="1"/>
  <c r="AC33" i="24"/>
  <c r="N33" i="24" s="1"/>
  <c r="AC34" i="24"/>
  <c r="N34" i="24" s="1"/>
  <c r="AC41" i="24"/>
  <c r="N41" i="24" s="1"/>
  <c r="AC43" i="24"/>
  <c r="N43" i="24" s="1"/>
  <c r="AC44" i="24"/>
  <c r="N44" i="24" s="1"/>
  <c r="AC47" i="24"/>
  <c r="N47" i="24" s="1"/>
  <c r="AC40" i="24"/>
  <c r="N40" i="24" s="1"/>
  <c r="AC35" i="24"/>
  <c r="N35" i="24" s="1"/>
  <c r="AC46" i="24"/>
  <c r="N46" i="24" s="1"/>
  <c r="AG48" i="24"/>
  <c r="AC39" i="24"/>
  <c r="N39" i="24" s="1"/>
  <c r="AC45" i="24"/>
  <c r="N45" i="24" s="1"/>
  <c r="AC37" i="24"/>
  <c r="N37" i="24" s="1"/>
  <c r="AB48" i="24"/>
  <c r="AH48" i="24" s="1"/>
  <c r="AK51" i="24" s="1"/>
  <c r="AH33" i="24" l="1"/>
  <c r="X33" i="24" s="1"/>
  <c r="Y33" i="24" s="1"/>
  <c r="AG33" i="24" s="1"/>
  <c r="AH32" i="24"/>
  <c r="X32" i="24" s="1"/>
  <c r="Y32" i="24" s="1"/>
  <c r="AG32" i="24" s="1"/>
  <c r="Q32" i="24" s="1"/>
  <c r="W32" i="24" s="1"/>
  <c r="C32" i="24" s="1"/>
  <c r="X48" i="24"/>
  <c r="Y48" i="24" s="1"/>
  <c r="AH38" i="24"/>
  <c r="X38" i="24" s="1"/>
  <c r="Y38" i="24" s="1"/>
  <c r="AG38" i="24" s="1"/>
  <c r="AH46" i="24"/>
  <c r="X46" i="24" s="1"/>
  <c r="Y46" i="24" s="1"/>
  <c r="AG46" i="24" s="1"/>
  <c r="AH47" i="24"/>
  <c r="X47" i="24" s="1"/>
  <c r="Y47" i="24" s="1"/>
  <c r="AG47" i="24" s="1"/>
  <c r="AH42" i="24"/>
  <c r="X42" i="24" s="1"/>
  <c r="Y42" i="24" s="1"/>
  <c r="AG42" i="24" s="1"/>
  <c r="AH35" i="24"/>
  <c r="X35" i="24" s="1"/>
  <c r="Y35" i="24" s="1"/>
  <c r="AG35" i="24" s="1"/>
  <c r="AH41" i="24"/>
  <c r="X41" i="24" s="1"/>
  <c r="Y41" i="24" s="1"/>
  <c r="AG41" i="24" s="1"/>
  <c r="AH40" i="24"/>
  <c r="X40" i="24" s="1"/>
  <c r="Y40" i="24" s="1"/>
  <c r="AG40" i="24" s="1"/>
  <c r="AH36" i="24"/>
  <c r="X36" i="24" s="1"/>
  <c r="Y36" i="24" s="1"/>
  <c r="AG36" i="24" s="1"/>
  <c r="AH34" i="24"/>
  <c r="X34" i="24" s="1"/>
  <c r="Y34" i="24" s="1"/>
  <c r="AG34" i="24" s="1"/>
  <c r="AH44" i="24"/>
  <c r="X44" i="24" s="1"/>
  <c r="Y44" i="24" s="1"/>
  <c r="AG44" i="24" s="1"/>
  <c r="AH43" i="24"/>
  <c r="X43" i="24" s="1"/>
  <c r="Y43" i="24" s="1"/>
  <c r="AG43" i="24" s="1"/>
  <c r="AH39" i="24"/>
  <c r="X39" i="24" s="1"/>
  <c r="Y39" i="24" s="1"/>
  <c r="AG39" i="24" s="1"/>
  <c r="AH37" i="24"/>
  <c r="X37" i="24" s="1"/>
  <c r="Y37" i="24" s="1"/>
  <c r="AG37" i="24" s="1"/>
  <c r="AH45" i="24"/>
  <c r="X45" i="24" s="1"/>
  <c r="Y45" i="24" s="1"/>
  <c r="AG45" i="24" s="1"/>
  <c r="Q45" i="24" s="1"/>
  <c r="W45" i="24" s="1"/>
  <c r="C45" i="24" s="1"/>
  <c r="Q34" i="24" l="1"/>
  <c r="W34" i="24" s="1"/>
  <c r="C34" i="24" s="1"/>
  <c r="Q37" i="24"/>
  <c r="W37" i="24" s="1"/>
  <c r="C37" i="24" s="1"/>
  <c r="Q47" i="24"/>
  <c r="S47" i="24" s="1"/>
  <c r="Q43" i="24"/>
  <c r="P43" i="24" s="1"/>
  <c r="Q35" i="24"/>
  <c r="O37" i="24"/>
  <c r="Q38" i="24"/>
  <c r="W38" i="24" s="1"/>
  <c r="C38" i="24" s="1"/>
  <c r="Q39" i="24"/>
  <c r="W39" i="24" s="1"/>
  <c r="C39" i="24" s="1"/>
  <c r="Q36" i="24"/>
  <c r="W36" i="24" s="1"/>
  <c r="C36" i="24" s="1"/>
  <c r="Q42" i="24"/>
  <c r="W42" i="24" s="1"/>
  <c r="C42" i="24" s="1"/>
  <c r="Q40" i="24"/>
  <c r="W40" i="24" s="1"/>
  <c r="C40" i="24" s="1"/>
  <c r="R32" i="24"/>
  <c r="P32" i="24"/>
  <c r="O32" i="24"/>
  <c r="S32" i="24"/>
  <c r="Q48" i="24"/>
  <c r="W48" i="24" s="1"/>
  <c r="C48" i="24" s="1"/>
  <c r="O34" i="24"/>
  <c r="O45" i="24"/>
  <c r="S45" i="24"/>
  <c r="P45" i="24"/>
  <c r="R45" i="24"/>
  <c r="Q44" i="24"/>
  <c r="W44" i="24" s="1"/>
  <c r="C44" i="24" s="1"/>
  <c r="Q41" i="24"/>
  <c r="W41" i="24" s="1"/>
  <c r="C41" i="24" s="1"/>
  <c r="Q46" i="24"/>
  <c r="W46" i="24" s="1"/>
  <c r="C46" i="24" s="1"/>
  <c r="Q33" i="24"/>
  <c r="W33" i="24" s="1"/>
  <c r="C33" i="24" s="1"/>
  <c r="P47" i="24" l="1"/>
  <c r="P34" i="24"/>
  <c r="R47" i="24"/>
  <c r="V47" i="24" s="1"/>
  <c r="R37" i="24"/>
  <c r="S34" i="24"/>
  <c r="U34" i="24" s="1"/>
  <c r="P37" i="24"/>
  <c r="R34" i="24"/>
  <c r="T34" i="24" s="1"/>
  <c r="S37" i="24"/>
  <c r="U37" i="24" s="1"/>
  <c r="S35" i="24"/>
  <c r="W35" i="24"/>
  <c r="C35" i="24" s="1"/>
  <c r="S43" i="24"/>
  <c r="W43" i="24"/>
  <c r="C43" i="24" s="1"/>
  <c r="O47" i="24"/>
  <c r="U47" i="24" s="1"/>
  <c r="W47" i="24"/>
  <c r="C47" i="24" s="1"/>
  <c r="O43" i="24"/>
  <c r="U43" i="24" s="1"/>
  <c r="R43" i="24"/>
  <c r="T43" i="24" s="1"/>
  <c r="R35" i="24"/>
  <c r="P35" i="24"/>
  <c r="O35" i="24"/>
  <c r="U32" i="24"/>
  <c r="R42" i="24"/>
  <c r="P42" i="24"/>
  <c r="S42" i="24"/>
  <c r="O42" i="24"/>
  <c r="R44" i="24"/>
  <c r="P44" i="24"/>
  <c r="O44" i="24"/>
  <c r="S44" i="24"/>
  <c r="U45" i="24"/>
  <c r="V32" i="24"/>
  <c r="T32" i="24"/>
  <c r="T47" i="24"/>
  <c r="R36" i="24"/>
  <c r="P36" i="24"/>
  <c r="S36" i="24"/>
  <c r="O36" i="24"/>
  <c r="O33" i="24"/>
  <c r="S33" i="24"/>
  <c r="R33" i="24"/>
  <c r="P33" i="24"/>
  <c r="R48" i="24"/>
  <c r="P48" i="24"/>
  <c r="O48" i="24"/>
  <c r="S48" i="24"/>
  <c r="O39" i="24"/>
  <c r="S39" i="24"/>
  <c r="R39" i="24"/>
  <c r="P39" i="24"/>
  <c r="O41" i="24"/>
  <c r="P41" i="24"/>
  <c r="S41" i="24"/>
  <c r="R41" i="24"/>
  <c r="R46" i="24"/>
  <c r="S46" i="24"/>
  <c r="P46" i="24"/>
  <c r="O46" i="24"/>
  <c r="V45" i="24"/>
  <c r="T45" i="24"/>
  <c r="R40" i="24"/>
  <c r="S40" i="24"/>
  <c r="P40" i="24"/>
  <c r="O40" i="24"/>
  <c r="R38" i="24"/>
  <c r="P38" i="24"/>
  <c r="O38" i="24"/>
  <c r="S38" i="24"/>
  <c r="V34" i="24" l="1"/>
  <c r="V37" i="24"/>
  <c r="T37" i="24"/>
  <c r="V35" i="24"/>
  <c r="U35" i="24"/>
  <c r="V43" i="24"/>
  <c r="T35" i="24"/>
  <c r="U41" i="24"/>
  <c r="U44" i="24"/>
  <c r="U48" i="24"/>
  <c r="U36" i="24"/>
  <c r="V41" i="24"/>
  <c r="T41" i="24"/>
  <c r="U39" i="24"/>
  <c r="U33" i="24"/>
  <c r="U42" i="24"/>
  <c r="V38" i="24"/>
  <c r="T38" i="24"/>
  <c r="T39" i="24"/>
  <c r="V39" i="24"/>
  <c r="V36" i="24"/>
  <c r="T36" i="24"/>
  <c r="U40" i="24"/>
  <c r="U46" i="24"/>
  <c r="T33" i="24"/>
  <c r="V33" i="24"/>
  <c r="U38" i="24"/>
  <c r="T40" i="24"/>
  <c r="V40" i="24"/>
  <c r="V46" i="24"/>
  <c r="T46" i="24"/>
  <c r="V48" i="24"/>
  <c r="T48" i="24"/>
  <c r="T44" i="24"/>
  <c r="V44" i="24"/>
  <c r="V42" i="24"/>
  <c r="T42" i="24"/>
  <c r="U49" i="24" l="1"/>
  <c r="T49" i="24"/>
  <c r="J48" i="24" l="1"/>
  <c r="I48" i="24"/>
  <c r="K58" i="24" l="1"/>
  <c r="F46" i="1" s="1"/>
  <c r="X14" i="9" l="1"/>
  <c r="W15" i="9" l="1"/>
  <c r="W17" i="9" s="1"/>
  <c r="B52"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<sst xmlns="http://schemas.openxmlformats.org/spreadsheetml/2006/main" count="3266" uniqueCount="1201">
  <si>
    <t>Informations relatives à l'installation</t>
  </si>
  <si>
    <t>Clinique Ste-Mammo</t>
  </si>
  <si>
    <t xml:space="preserve">                                            @</t>
  </si>
  <si>
    <t>Alexandre Toussaint</t>
  </si>
  <si>
    <r>
      <t xml:space="preserve">(*) </t>
    </r>
    <r>
      <rPr>
        <i/>
        <sz val="10"/>
        <color theme="1"/>
        <rFont val="Calibri"/>
        <family val="2"/>
        <scheme val="minor"/>
      </rPr>
      <t>Ces informations sont reprises sur chaque page subséquente.</t>
    </r>
  </si>
  <si>
    <t>Identification du matériel</t>
  </si>
  <si>
    <t xml:space="preserve">Autres équipements </t>
  </si>
  <si>
    <t>(s'il y a lieu)</t>
  </si>
  <si>
    <t>Détecteur DR</t>
  </si>
  <si>
    <t>Numéro de série</t>
  </si>
  <si>
    <t>Moniteurs d'interprétation</t>
  </si>
  <si>
    <t>Fabricant :</t>
  </si>
  <si>
    <t>Modèle :</t>
  </si>
  <si>
    <t>Nombre de pixels :</t>
  </si>
  <si>
    <t>Moniteurs d'acquisition ou de revue</t>
  </si>
  <si>
    <t>Conforme</t>
  </si>
  <si>
    <t>Oui</t>
  </si>
  <si>
    <t>Non</t>
  </si>
  <si>
    <t>Appareil dans son ensemble</t>
  </si>
  <si>
    <t>Toutes ses parties mobiles se déplacent facilement et sans blocage.</t>
  </si>
  <si>
    <t>Tous les freins et les crans d’arrêt fonctionnent correctement.</t>
  </si>
  <si>
    <t>Les paramètres techniques utilisés peuvent être bien lus en tout temps sur l’appareil.</t>
  </si>
  <si>
    <t>Récepteur</t>
  </si>
  <si>
    <t>Le récepteur d’image glisse facilement dans son support.</t>
  </si>
  <si>
    <t>Le récepteur d’image et la cassette (CR) sont bien maintenus dans toutes les orientations.</t>
  </si>
  <si>
    <t>Compression</t>
  </si>
  <si>
    <t>La plaque de compression est solidement fixée.</t>
  </si>
  <si>
    <t>La compression peut être relâchée manuellement ou automatiquement.</t>
  </si>
  <si>
    <t>L'échelle d'épaisseur de la compression est présente.</t>
  </si>
  <si>
    <t>Radioprotection</t>
  </si>
  <si>
    <t>La charte technique complète est à jour et se trouve dans la salle de mammographie.</t>
  </si>
  <si>
    <t>La charte technique relative au mode manuel est à jour et se trouve dans la salle de mammographie.</t>
  </si>
  <si>
    <t>Les interrupteurs, les indicateurs et les voyants lumineux fonctionnent correctement.</t>
  </si>
  <si>
    <t>Une affiche de mise en garde est posée à l’entrée de la salle pour indiquer que l’on y utilise des rayons X.</t>
  </si>
  <si>
    <t>Les accessoires de protection sont efficaces et conformes.</t>
  </si>
  <si>
    <t>Le mécanisme d’interruption de l’exposition fonctionne correctement.</t>
  </si>
  <si>
    <t>L’interrupteur d’exposition est du type à pression continue.</t>
  </si>
  <si>
    <t>La position de l’interrupteur d’exposition est sécuritaire.</t>
  </si>
  <si>
    <t>Identification des images</t>
  </si>
  <si>
    <t>La modalité supporte l’acteur IHE « Acquisition modality » du profil « Mammography image ».</t>
  </si>
  <si>
    <t>Fabricant</t>
  </si>
  <si>
    <t>Modèle</t>
  </si>
  <si>
    <t>Sous-système</t>
  </si>
  <si>
    <t>Version</t>
  </si>
  <si>
    <t>GE</t>
  </si>
  <si>
    <t>ADS</t>
  </si>
  <si>
    <t>Hologic</t>
  </si>
  <si>
    <t>AWS</t>
  </si>
  <si>
    <t>Siemens</t>
  </si>
  <si>
    <t>Giotto</t>
  </si>
  <si>
    <t>Rafaello</t>
  </si>
  <si>
    <t>Planmed</t>
  </si>
  <si>
    <t>Nuance</t>
  </si>
  <si>
    <t>Nuance manager 3</t>
  </si>
  <si>
    <t>précision</t>
  </si>
  <si>
    <r>
      <t>kg</t>
    </r>
    <r>
      <rPr>
        <vertAlign val="subscript"/>
        <sz val="9"/>
        <rFont val="Arial"/>
        <family val="2"/>
      </rPr>
      <t>0</t>
    </r>
    <r>
      <rPr>
        <sz val="9"/>
        <rFont val="Arial"/>
        <family val="2"/>
      </rPr>
      <t>-kg</t>
    </r>
    <r>
      <rPr>
        <vertAlign val="subscript"/>
        <sz val="9"/>
        <rFont val="Arial"/>
        <family val="2"/>
      </rPr>
      <t>1</t>
    </r>
  </si>
  <si>
    <t xml:space="preserve">Normes : </t>
  </si>
  <si>
    <t xml:space="preserve">    ▪   La compression à 10 kg ou plus doit pouvoir être maintenue pendant 1 minute sans se relâcher de plus de 1 kg.</t>
  </si>
  <si>
    <t xml:space="preserve">DÉFLEXION </t>
  </si>
  <si>
    <t>18 x 24</t>
  </si>
  <si>
    <t>24 x 30</t>
  </si>
  <si>
    <t>Norme :</t>
  </si>
  <si>
    <t>ÉPAISSEUR</t>
  </si>
  <si>
    <t>(mm)</t>
  </si>
  <si>
    <t>Recommandations du physicien:</t>
  </si>
  <si>
    <t>SDNR</t>
  </si>
  <si>
    <t>Mo/Mo</t>
  </si>
  <si>
    <t>0,2 mm Al</t>
  </si>
  <si>
    <t>Valeurs = SDNR</t>
  </si>
  <si>
    <t>Épaisseur d’acrylique (mm)</t>
  </si>
  <si>
    <t>kV</t>
  </si>
  <si>
    <t>mAs (SEA)</t>
  </si>
  <si>
    <t>PMMA</t>
  </si>
  <si>
    <t>ROI A</t>
  </si>
  <si>
    <t>ROI B</t>
  </si>
  <si>
    <t>Pour ajout de</t>
  </si>
  <si>
    <t>0,2 mm AI</t>
  </si>
  <si>
    <t>Marque / Modèle</t>
  </si>
  <si>
    <t>Acceptable</t>
  </si>
  <si>
    <t>Atteignable</t>
  </si>
  <si>
    <t>Agfa CR (MM3.0)</t>
  </si>
  <si>
    <t>Agfa CR (HM5.0)</t>
  </si>
  <si>
    <t>Fuji CR</t>
  </si>
  <si>
    <t>DR</t>
  </si>
  <si>
    <t>Fuji Amulet</t>
  </si>
  <si>
    <t>DR (SEA)</t>
  </si>
  <si>
    <t>GE 2000D</t>
  </si>
  <si>
    <t>GE DS</t>
  </si>
  <si>
    <t>GE Essential</t>
  </si>
  <si>
    <t>Hologic Selenia</t>
  </si>
  <si>
    <t>IMS Giotto</t>
  </si>
  <si>
    <t>Carestream CR</t>
  </si>
  <si>
    <t>(M2 Plate)</t>
  </si>
  <si>
    <t>(M3 Plate)</t>
  </si>
  <si>
    <t>Planmed Nuance</t>
  </si>
  <si>
    <t>Sectra D40</t>
  </si>
  <si>
    <t>Sectra L30</t>
  </si>
  <si>
    <t>Siemens Novation DR</t>
  </si>
  <si>
    <t>Siemens Inspiration</t>
  </si>
  <si>
    <t>Réponse du réglage de densité</t>
  </si>
  <si>
    <t>PMMA (mm)</t>
  </si>
  <si>
    <t>%</t>
  </si>
  <si>
    <t>Conforme
Oui         Non</t>
  </si>
  <si>
    <t>NB</t>
  </si>
  <si>
    <t>Utiliser les coefficients de détermination</t>
  </si>
  <si>
    <t>conformément à un système linéaire ou non linéaire en modifiant pour 1/mAs ou ln(mAs) au besoin.</t>
  </si>
  <si>
    <t>On a utilisé ici les valeur sous la ROI B (sans l'objet-test).</t>
  </si>
  <si>
    <t>auto-time</t>
  </si>
  <si>
    <t>15 kg</t>
  </si>
  <si>
    <t>oui</t>
  </si>
  <si>
    <t xml:space="preserve">mAs </t>
  </si>
  <si>
    <t>VMP(ROI A)</t>
  </si>
  <si>
    <t>VMP(ROI B)</t>
  </si>
  <si>
    <t>C</t>
  </si>
  <si>
    <t>1/mAs</t>
  </si>
  <si>
    <t>IE</t>
  </si>
  <si>
    <t>~1/2 ref</t>
  </si>
  <si>
    <t>ref (SEA)</t>
  </si>
  <si>
    <t>~2 ref</t>
  </si>
  <si>
    <t>~3 ref</t>
  </si>
  <si>
    <t>Écart</t>
  </si>
  <si>
    <t>écart-type : C</t>
  </si>
  <si>
    <t>Format du récepteur (cm x cm)</t>
  </si>
  <si>
    <t>Mo/Rh</t>
  </si>
  <si>
    <t>Rh/Rh</t>
  </si>
  <si>
    <t>Déformation géométrique</t>
  </si>
  <si>
    <t>Distorsion visible sur treillis métallique</t>
  </si>
  <si>
    <t>Manque d'uniformité</t>
  </si>
  <si>
    <t>Artéfact causé par détecteur</t>
  </si>
  <si>
    <t>Bruit excessif</t>
  </si>
  <si>
    <t>Lignes mortes</t>
  </si>
  <si>
    <t>Nombreux pixels morts</t>
  </si>
  <si>
    <t>Autres artéfacts (décrire)</t>
  </si>
  <si>
    <t>Évaluation des images résiduelles</t>
  </si>
  <si>
    <t>Valeur moyenne</t>
  </si>
  <si>
    <t>Facteur calculé</t>
  </si>
  <si>
    <t>A</t>
  </si>
  <si>
    <t>B</t>
  </si>
  <si>
    <r>
      <rPr>
        <i/>
        <sz val="9"/>
        <rFont val="Arial"/>
        <family val="2"/>
      </rPr>
      <t xml:space="preserve">Prendre les mesures sur une image </t>
    </r>
    <r>
      <rPr>
        <b/>
        <i/>
        <sz val="9"/>
        <rFont val="Arial"/>
        <family val="2"/>
      </rPr>
      <t xml:space="preserve">non traitée </t>
    </r>
    <r>
      <rPr>
        <i/>
        <sz val="9"/>
        <rFont val="Arial"/>
        <family val="2"/>
      </rPr>
      <t>dans un système DR. N’effectuer aucune opération de post-</t>
    </r>
  </si>
  <si>
    <t>traitement de l’image dans un système CR.</t>
  </si>
  <si>
    <t>Mode</t>
  </si>
  <si>
    <t>CR</t>
  </si>
  <si>
    <t>18x24</t>
  </si>
  <si>
    <t>24x30</t>
  </si>
  <si>
    <t>ROI</t>
  </si>
  <si>
    <t>Écart-type</t>
  </si>
  <si>
    <t>RSB</t>
  </si>
  <si>
    <t>Moyenne
 arceau</t>
  </si>
  <si>
    <t>Variation</t>
  </si>
  <si>
    <t>1 cm</t>
  </si>
  <si>
    <t>X</t>
  </si>
  <si>
    <t>s</t>
  </si>
  <si>
    <t>intra-arceau</t>
  </si>
  <si>
    <t>La formule de conformité tient compte de DR (6%) ou CR (15%).</t>
  </si>
  <si>
    <t>Moyenne</t>
  </si>
  <si>
    <t>Écart RSB</t>
  </si>
  <si>
    <t>c</t>
  </si>
  <si>
    <t>X/c</t>
  </si>
  <si>
    <t>temporel</t>
  </si>
  <si>
    <t>Récepteur No</t>
  </si>
  <si>
    <t>Format</t>
  </si>
  <si>
    <t>VMP</t>
  </si>
  <si>
    <t>Écart type</t>
  </si>
  <si>
    <t>mAs  résult.</t>
  </si>
  <si>
    <r>
      <t>%: RSB</t>
    </r>
    <r>
      <rPr>
        <vertAlign val="subscript"/>
        <sz val="9"/>
        <rFont val="Arial"/>
        <family val="2"/>
      </rPr>
      <t>i</t>
    </r>
    <r>
      <rPr>
        <sz val="9"/>
        <rFont val="Arial"/>
        <family val="2"/>
      </rPr>
      <t>/moy</t>
    </r>
  </si>
  <si>
    <t>Variation maximale</t>
  </si>
  <si>
    <t>Normes :</t>
  </si>
  <si>
    <t>Cassette de référence 18 X 24 cm</t>
  </si>
  <si>
    <t>Cassette de référence  24 X 30 cm</t>
  </si>
  <si>
    <t>foyer</t>
  </si>
  <si>
    <t>VMP (Barre)</t>
  </si>
  <si>
    <t>pl/mm</t>
  </si>
  <si>
    <t>FTM (%)</t>
  </si>
  <si>
    <t>Parallèle</t>
  </si>
  <si>
    <t>pl à 50%</t>
  </si>
  <si>
    <t>Stabilité</t>
  </si>
  <si>
    <t>mAs:</t>
  </si>
  <si>
    <t>kV
affiché</t>
  </si>
  <si>
    <t>kV
mesuré</t>
  </si>
  <si>
    <t>#1</t>
  </si>
  <si>
    <t>#2</t>
  </si>
  <si>
    <t>#3</t>
  </si>
  <si>
    <t>#4</t>
  </si>
  <si>
    <t>#5</t>
  </si>
  <si>
    <t>#6</t>
  </si>
  <si>
    <t>#7</t>
  </si>
  <si>
    <t>#8</t>
  </si>
  <si>
    <t>#9</t>
  </si>
  <si>
    <t>#10</t>
  </si>
  <si>
    <t>moyenne</t>
  </si>
  <si>
    <t>Débit (mGy)</t>
  </si>
  <si>
    <t>mGy/mAs</t>
  </si>
  <si>
    <t>non</t>
  </si>
  <si>
    <t>60 cm</t>
  </si>
  <si>
    <t>Plaque de compression (O/N)</t>
  </si>
  <si>
    <t>kV:</t>
  </si>
  <si>
    <t>mAs</t>
  </si>
  <si>
    <t>Grand foyer
mGy</t>
  </si>
  <si>
    <t>Petit foyer
mGy</t>
  </si>
  <si>
    <t>linéarité
GF</t>
  </si>
  <si>
    <t>Anodefiltre</t>
  </si>
  <si>
    <t>zone de calculs et références</t>
  </si>
  <si>
    <t>W/Ag</t>
  </si>
  <si>
    <t>W/Al</t>
  </si>
  <si>
    <t>W/Rh</t>
  </si>
  <si>
    <t>---</t>
  </si>
  <si>
    <t>Combinaison Anode-filtre</t>
  </si>
  <si>
    <t>Tension (en kVp)</t>
  </si>
  <si>
    <t>Charge (en mAs)</t>
  </si>
  <si>
    <t>Exposition (mR) avec filtre de 0,3 mm Al</t>
  </si>
  <si>
    <t>t1,2,3</t>
  </si>
  <si>
    <t>Exposition (mR) avec filtre de 0,4 mm Al</t>
  </si>
  <si>
    <t>Exposition (mR) avec filtre de 0,5 mm Al</t>
  </si>
  <si>
    <t>CDA mesurée (mm Al)</t>
  </si>
  <si>
    <t>KERMA à la surface de PMMA</t>
  </si>
  <si>
    <t>mAs, 20 mm PMMA</t>
  </si>
  <si>
    <t xml:space="preserve">lecture Kerma 20 </t>
  </si>
  <si>
    <t>mAs, 45mm PMMA</t>
  </si>
  <si>
    <t>DT</t>
  </si>
  <si>
    <t>corr.dist 20</t>
  </si>
  <si>
    <t>corr. Dist70</t>
  </si>
  <si>
    <t>lecture Kerma 45</t>
  </si>
  <si>
    <t>mAs, 70 mm PMMA</t>
  </si>
  <si>
    <t>faire correction pour Nmammo.</t>
  </si>
  <si>
    <t xml:space="preserve">lecture Kerma 70 </t>
  </si>
  <si>
    <t>auto si mesure faite à 45 mm, sinon refaire en remplacant 45 par 0 pour les 3 épaisseurs</t>
  </si>
  <si>
    <t>N facteur d'étallonnage</t>
  </si>
  <si>
    <t>Kerma 20 à la surface (mGy)</t>
  </si>
  <si>
    <t>Kerma 45 à la surface (mGy)</t>
  </si>
  <si>
    <t>Kerma 70 à la surface (mGy)</t>
  </si>
  <si>
    <t>Dose glandulaire moyenne</t>
  </si>
  <si>
    <t>K 20</t>
  </si>
  <si>
    <t>g20</t>
  </si>
  <si>
    <t>c20</t>
  </si>
  <si>
    <t>DGM-20 (mGy)</t>
  </si>
  <si>
    <t>K45</t>
  </si>
  <si>
    <t>g45</t>
  </si>
  <si>
    <t>c45</t>
  </si>
  <si>
    <t>K70</t>
  </si>
  <si>
    <t>g70</t>
  </si>
  <si>
    <t>c70</t>
  </si>
  <si>
    <t>DGM-70 (mGy)</t>
  </si>
  <si>
    <t>Épaisseur PMMA
(mm)</t>
  </si>
  <si>
    <t>Sein équivalent
(mm)</t>
  </si>
  <si>
    <t>Anode/filtre</t>
  </si>
  <si>
    <t>épaisseur filtre
microns</t>
  </si>
  <si>
    <t>facteur S</t>
  </si>
  <si>
    <t>50-75</t>
  </si>
  <si>
    <t>50-60</t>
  </si>
  <si>
    <t>Glandularité 
(%)</t>
  </si>
  <si>
    <t>CDA (mm Al)</t>
  </si>
  <si>
    <t>g</t>
  </si>
  <si>
    <t xml:space="preserve">Congruence entre le champ de rayonnement et le faisceau lumineux </t>
  </si>
  <si>
    <t>mm</t>
  </si>
  <si>
    <t>24  x 30</t>
  </si>
  <si>
    <t xml:space="preserve"> G.F.</t>
  </si>
  <si>
    <t xml:space="preserve"> G- déviation du côté gauche (mm)</t>
  </si>
  <si>
    <t xml:space="preserve"> D- déviation du côté droit (mm)</t>
  </si>
  <si>
    <t xml:space="preserve"> Somme en valeur absolue G + D (mm)</t>
  </si>
  <si>
    <t xml:space="preserve"> Déviation gauche-droite (% de la DSI) </t>
  </si>
  <si>
    <t xml:space="preserve"> A- déviation du côté antérieur (mm)</t>
  </si>
  <si>
    <t xml:space="preserve"> T- déviation du côté paroi thoracique (mm)</t>
  </si>
  <si>
    <t xml:space="preserve"> Somme en valeur absolue A+T (mm)</t>
  </si>
  <si>
    <t xml:space="preserve"> Déviation antérieur-thorax (% de la DSI) </t>
  </si>
  <si>
    <t>Différence entre le champ de rayonnement et le récepteur d’image</t>
  </si>
  <si>
    <t>Ne dépasse pas le plateau (côté droit)</t>
  </si>
  <si>
    <t>Ne dépasse pas le plateau (côté gauche)</t>
  </si>
  <si>
    <t>Ne dépasse pas le plateau (côté distal)</t>
  </si>
  <si>
    <r>
      <t xml:space="preserve">    ▪    La largeur du tissu perdu ne doit pas excéder </t>
    </r>
    <r>
      <rPr>
        <b/>
        <i/>
        <sz val="8"/>
        <rFont val="Arial"/>
        <family val="2"/>
      </rPr>
      <t>5 mm</t>
    </r>
    <r>
      <rPr>
        <i/>
        <sz val="8"/>
        <rFont val="Arial"/>
        <family val="2"/>
      </rPr>
      <t>.</t>
    </r>
  </si>
  <si>
    <t>Déviation plaque-récepteur d’image (écart en mm)</t>
  </si>
  <si>
    <t xml:space="preserve">Déviation (% de la DSI) </t>
  </si>
  <si>
    <t>Primaire</t>
  </si>
  <si>
    <t>VÉRIFICATIONS INITIALES</t>
  </si>
  <si>
    <t>Condition et propreté de l’écran du moniteur</t>
  </si>
  <si>
    <t>Fonctionnement de la loupe intégrée</t>
  </si>
  <si>
    <t>Ergonomie adéquate?</t>
  </si>
  <si>
    <t>Aucune réflexion directe?</t>
  </si>
  <si>
    <t>Éclairement de la salle (&lt; 40 lux)?</t>
  </si>
  <si>
    <t>VÉRIFICATIONS SELON
 LA MIRE UTILISÉE</t>
  </si>
  <si>
    <t>MIRE TG18-QC</t>
  </si>
  <si>
    <t>Aucun artéfact important n’apparaît sur l’image de la mire TG18-QC.</t>
  </si>
  <si>
    <t>Les rampes sont continues, sans ligne de contour.</t>
  </si>
  <si>
    <t>Uniformité sur toute la surface.</t>
  </si>
  <si>
    <t>Les bordures et les lignes du patron sont visibles et droites.</t>
  </si>
  <si>
    <t>Le patron est centré dans la surface active d’affichage.</t>
  </si>
  <si>
    <t>Les 16 plages de luminance sont distinctement visibles.</t>
  </si>
  <si>
    <t>Les patrons de paires de lignes situées au centre et aux quatre coins sont visibles.</t>
  </si>
  <si>
    <t>Les trois encarts QUALITY CONTROL sont visibles.</t>
  </si>
  <si>
    <t>Aucun pixel n’est altéré sur le plan de la luminance (diaphonie électronique).</t>
  </si>
  <si>
    <t>Aucune variation de luminance sur 1 cm ou plus ne devrait être observée.</t>
  </si>
  <si>
    <t>Gauche</t>
  </si>
  <si>
    <t>Droit</t>
  </si>
  <si>
    <t>Évaluation quantitative de l'uniformité de la luminance</t>
  </si>
  <si>
    <t>Point de mesure</t>
  </si>
  <si>
    <r>
      <t>Luminance (cd/m</t>
    </r>
    <r>
      <rPr>
        <vertAlign val="superscript"/>
        <sz val="9"/>
        <rFont val="Arial"/>
        <family val="2"/>
      </rPr>
      <t>2</t>
    </r>
    <r>
      <rPr>
        <sz val="9"/>
        <rFont val="Arial"/>
        <family val="2"/>
      </rPr>
      <t>)</t>
    </r>
  </si>
  <si>
    <t>Centre</t>
  </si>
  <si>
    <t>Coin supérieur gauche</t>
  </si>
  <si>
    <t>Coin supérieur droit</t>
  </si>
  <si>
    <t>Coin inférieur gauche</t>
  </si>
  <si>
    <t>Coin inférieur droit</t>
  </si>
  <si>
    <t>Écart: (coin-centre)/centre (%)</t>
  </si>
  <si>
    <t>Déviation relative maximale</t>
  </si>
  <si>
    <t xml:space="preserve">La fonction d'affichage d'une échelle de gris standardisée DICOM </t>
  </si>
  <si>
    <t>Mire TG18-LN12</t>
  </si>
  <si>
    <t>No</t>
  </si>
  <si>
    <t xml:space="preserve"> </t>
  </si>
  <si>
    <t>Mesures de référence actuelles</t>
  </si>
  <si>
    <t>Écart-type
 (C)</t>
  </si>
  <si>
    <t>18x24 disque</t>
  </si>
  <si>
    <t>24X30 disque</t>
  </si>
  <si>
    <t>Objets du fantôme (RMI-156 ou NA18-220)</t>
  </si>
  <si>
    <t>18 cm x</t>
  </si>
  <si>
    <t>24 cm x</t>
  </si>
  <si>
    <t>24 cm</t>
  </si>
  <si>
    <t>30 cm</t>
  </si>
  <si>
    <t>Évaluation globale</t>
  </si>
  <si>
    <t>Qualité globale acceptable de l'image du fantôme</t>
  </si>
  <si>
    <t>(18 cm x 24 cm)</t>
  </si>
  <si>
    <t>Présence d'artéfacts acceptable sur l'image du fantôme</t>
  </si>
  <si>
    <t xml:space="preserve">Qualité globale acceptable de l'image du fantôme </t>
  </si>
  <si>
    <t>(24 cm x 30 cm)</t>
  </si>
  <si>
    <t xml:space="preserve">Présence d'artéfacts acceptables sur l'image du fantôme </t>
  </si>
  <si>
    <t>d’occupation des locaux avoisinants, la distance entre la source et les barrières de protection.</t>
  </si>
  <si>
    <t>Barrière</t>
  </si>
  <si>
    <t xml:space="preserve">Distance </t>
  </si>
  <si>
    <t>Local</t>
  </si>
  <si>
    <t>Type de</t>
  </si>
  <si>
    <t>T*</t>
  </si>
  <si>
    <t xml:space="preserve">Blindage </t>
  </si>
  <si>
    <t>protection</t>
  </si>
  <si>
    <t>(m)</t>
  </si>
  <si>
    <t>voisin</t>
  </si>
  <si>
    <t>zone</t>
  </si>
  <si>
    <t>requis</t>
  </si>
  <si>
    <t>plancher</t>
  </si>
  <si>
    <t>plafond</t>
  </si>
  <si>
    <t>*  Facteur d’occupation du local voisin</t>
  </si>
  <si>
    <t>Description de la zone</t>
  </si>
  <si>
    <t>Facteur d’occupation(T)</t>
  </si>
  <si>
    <t>Bureaux, laboratoires, pharmacies et autres surfaces de travail occupées à temps plein ; zones d’accueil, salles d’attente avec surveillant, aires de jeu intérieures pour les enfants, salles de radiologie (rayons X) adjacentes, salles de lecture ou d’évaluation des films, postes des infirmières, postes de contrôle (rayons X).</t>
  </si>
  <si>
    <t>Salles utilisées pour les examens ou les traitements.</t>
  </si>
  <si>
    <t>1/2</t>
  </si>
  <si>
    <t>Corridors, chambres des patients, salons des employés, salles de repos à l’usage du personnel. Toilettes des employés</t>
  </si>
  <si>
    <t>1/5</t>
  </si>
  <si>
    <t>Portes donnant accès au corridor.</t>
  </si>
  <si>
    <t>1/8</t>
  </si>
  <si>
    <t>Toilettes publiques, aires de vente sans surveillant, locaux d’entreposage, aires extérieures avec bancs, salles d’attente sans surveillant, aires d’attente pour les patients en transition.</t>
  </si>
  <si>
    <t>1/20</t>
  </si>
  <si>
    <t>Espaces extérieurs permettant la circulation des piétons ou des véhicules, parcs de stationnement sans surveillant, débarcadères sans surveillant, escaliers, ascenseurs sans surveillant, locaux d’entretien</t>
  </si>
  <si>
    <t>1/40</t>
  </si>
  <si>
    <t>Équipement</t>
  </si>
  <si>
    <t>a =</t>
  </si>
  <si>
    <t>A =</t>
  </si>
  <si>
    <t>b =</t>
  </si>
  <si>
    <t>B =</t>
  </si>
  <si>
    <t>c =</t>
  </si>
  <si>
    <t>C =</t>
  </si>
  <si>
    <t>d =</t>
  </si>
  <si>
    <t>D =</t>
  </si>
  <si>
    <t>e =</t>
  </si>
  <si>
    <t>E =</t>
  </si>
  <si>
    <t>f =</t>
  </si>
  <si>
    <t>F =</t>
  </si>
  <si>
    <t>g =</t>
  </si>
  <si>
    <t>G =</t>
  </si>
  <si>
    <t>h =</t>
  </si>
  <si>
    <t>H =</t>
  </si>
  <si>
    <t>k =</t>
  </si>
  <si>
    <t>I =</t>
  </si>
  <si>
    <t>m =</t>
  </si>
  <si>
    <t>pattern</t>
  </si>
  <si>
    <t>Luminance</t>
  </si>
  <si>
    <t>JND</t>
  </si>
  <si>
    <t>dL/L</t>
  </si>
  <si>
    <t>j</t>
  </si>
  <si>
    <t>L(j)</t>
  </si>
  <si>
    <t>L</t>
  </si>
  <si>
    <t>j(L)</t>
  </si>
  <si>
    <t>Monitor dL/L</t>
  </si>
  <si>
    <t>TG-18LN12</t>
  </si>
  <si>
    <t>p value</t>
  </si>
  <si>
    <t>+20%</t>
  </si>
  <si>
    <t>+10%</t>
  </si>
  <si>
    <t>-10%</t>
  </si>
  <si>
    <t>-20%</t>
  </si>
  <si>
    <t>Relationship between the p (pixel) value and JND:</t>
  </si>
  <si>
    <t>a:</t>
  </si>
  <si>
    <t>b:</t>
  </si>
  <si>
    <t>Fabricant lecteur CR (#1)</t>
  </si>
  <si>
    <t xml:space="preserve">Fabricant lecteur CR (autre) </t>
  </si>
  <si>
    <t>Si plus d'un lecteur CR sert pour un même mammographe, identifier en plus, faire les tests applicables et produire les images fantômes au test correspondant.</t>
  </si>
  <si>
    <t>Support de l'acteur IHE "Acquisition Modality" du profil "Mammography Image", du "Radiology Technical Framework"</t>
  </si>
  <si>
    <t>Philips</t>
  </si>
  <si>
    <t>Selenia</t>
  </si>
  <si>
    <t>Combinaison anode / filtre</t>
  </si>
  <si>
    <t xml:space="preserve">ROI#5 </t>
  </si>
  <si>
    <t>technoLst</t>
  </si>
  <si>
    <t>annéeFab</t>
  </si>
  <si>
    <t>Date</t>
  </si>
  <si>
    <t># 5</t>
  </si>
  <si>
    <t>date</t>
  </si>
  <si>
    <r>
      <t>|</t>
    </r>
    <r>
      <rPr>
        <sz val="9"/>
        <rFont val="Arial"/>
        <family val="2"/>
      </rPr>
      <t>A-B|/C</t>
    </r>
  </si>
  <si>
    <t>Conforme (RSB et mAs)</t>
  </si>
  <si>
    <t>DR/Ga</t>
  </si>
  <si>
    <t>Station:</t>
  </si>
  <si>
    <t>Secondaire</t>
  </si>
  <si>
    <t>Visualisation</t>
  </si>
  <si>
    <t>valeur p</t>
  </si>
  <si>
    <t>Moniteur dL/L</t>
  </si>
  <si>
    <r>
      <t>L [cd/m</t>
    </r>
    <r>
      <rPr>
        <vertAlign val="superscript"/>
        <sz val="9"/>
        <rFont val="Arial"/>
        <family val="2"/>
      </rPr>
      <t>2</t>
    </r>
    <r>
      <rPr>
        <sz val="9"/>
        <rFont val="Arial"/>
        <family val="2"/>
      </rPr>
      <t>]</t>
    </r>
  </si>
  <si>
    <t>mieux que 10%</t>
  </si>
  <si>
    <t>mieux que 20%</t>
  </si>
  <si>
    <t>Classe:</t>
  </si>
  <si>
    <t>TG18-UNL80</t>
  </si>
  <si>
    <t>TG18-UNL10</t>
  </si>
  <si>
    <t>Évaluation quantitative</t>
  </si>
  <si>
    <t xml:space="preserve">Sommaire: </t>
  </si>
  <si>
    <t>à l'anomalie s'il y a lieu.</t>
  </si>
  <si>
    <t>jj-mm-aaaa</t>
  </si>
  <si>
    <t>FabricantM</t>
  </si>
  <si>
    <t>Fuji</t>
  </si>
  <si>
    <t>Agfa</t>
  </si>
  <si>
    <t>Carestream</t>
  </si>
  <si>
    <t># de cassette:</t>
  </si>
  <si>
    <t>Philips PCREleva</t>
  </si>
  <si>
    <t>F</t>
  </si>
  <si>
    <t xml:space="preserve"> Écart entre le champ de RX et le support, côté paroi thoracique</t>
  </si>
  <si>
    <r>
      <t xml:space="preserve"> Largeur du tissu perdu, côté thoracique </t>
    </r>
    <r>
      <rPr>
        <sz val="8"/>
        <rFont val="Arial"/>
        <family val="2"/>
      </rPr>
      <t/>
    </r>
  </si>
  <si>
    <t>Aucun artéfact important n’est visible et les patrons TG18-UN80 et UN-10 sont uniformes.</t>
  </si>
  <si>
    <t>Fabricant CR</t>
  </si>
  <si>
    <t xml:space="preserve">Nombre de fibres  </t>
  </si>
  <si>
    <r>
      <t xml:space="preserve">Groupes de microcalcifications </t>
    </r>
    <r>
      <rPr>
        <i/>
        <sz val="9"/>
        <rFont val="Arial"/>
        <family val="2"/>
      </rPr>
      <t xml:space="preserve"> </t>
    </r>
  </si>
  <si>
    <t>type de zone</t>
  </si>
  <si>
    <t>contrôlée</t>
  </si>
  <si>
    <t>non contrôlée</t>
  </si>
  <si>
    <t>existant (matériau)</t>
  </si>
  <si>
    <t>centrée</t>
  </si>
  <si>
    <t>standard</t>
  </si>
  <si>
    <t>cass#2</t>
  </si>
  <si>
    <t>cass#3</t>
  </si>
  <si>
    <t>Compression appliquée</t>
  </si>
  <si>
    <t>si détecteur sur le plateau.</t>
  </si>
  <si>
    <t>si détecteur sur PMMA de 45 mm</t>
  </si>
  <si>
    <t>Alignement de la plaque de compression :</t>
  </si>
  <si>
    <t xml:space="preserve">Le bord de la plaque de compression n’apparaît pas sur l’image </t>
  </si>
  <si>
    <t>Interprétation (primaire)</t>
  </si>
  <si>
    <t>Visualisation (secondaire)</t>
  </si>
  <si>
    <t>Dicom3.14</t>
  </si>
  <si>
    <t>liste des équipements entrés à l'onglet éqpmt)</t>
  </si>
  <si>
    <t>liste des équipements entrés à l'onglet éqpmt</t>
  </si>
  <si>
    <t>éca-type</t>
  </si>
  <si>
    <t>no cass</t>
  </si>
  <si>
    <t>champ</t>
  </si>
  <si>
    <t>ec-typ</t>
  </si>
  <si>
    <t>b</t>
  </si>
  <si>
    <t>G-paral</t>
  </si>
  <si>
    <r>
      <t>SDNR</t>
    </r>
    <r>
      <rPr>
        <vertAlign val="subscript"/>
        <sz val="9"/>
        <rFont val="Arial"/>
        <family val="2"/>
      </rPr>
      <t>antérieur</t>
    </r>
  </si>
  <si>
    <r>
      <t>diff(SDNR)/
SDNR</t>
    </r>
    <r>
      <rPr>
        <vertAlign val="subscript"/>
        <sz val="9"/>
        <rFont val="Arial"/>
        <family val="2"/>
      </rPr>
      <t xml:space="preserve"> actuel</t>
    </r>
  </si>
  <si>
    <t>no de 18x24</t>
  </si>
  <si>
    <t>no de 24x30</t>
  </si>
  <si>
    <t>classement des cassettes= "cass"</t>
  </si>
  <si>
    <t>mAs%</t>
  </si>
  <si>
    <t>les cassettes de même format</t>
  </si>
  <si>
    <t>sélection cassette de référence</t>
  </si>
  <si>
    <t>pour regrouper</t>
  </si>
  <si>
    <t>Moniteur</t>
  </si>
  <si>
    <t>MON liste</t>
  </si>
  <si>
    <t>Grand</t>
  </si>
  <si>
    <t>Petit</t>
  </si>
  <si>
    <t>des pixels (VMP)</t>
  </si>
  <si>
    <t xml:space="preserve">Nombre de masses  </t>
  </si>
  <si>
    <t>centrée sur fantôme</t>
  </si>
  <si>
    <t>patientes/semaine</t>
  </si>
  <si>
    <t>technologue</t>
  </si>
  <si>
    <t>appareil</t>
  </si>
  <si>
    <t>Appareil</t>
  </si>
  <si>
    <t>Généralités</t>
  </si>
  <si>
    <t>SEA</t>
  </si>
  <si>
    <t>Détecteur</t>
  </si>
  <si>
    <t>Artefacts</t>
  </si>
  <si>
    <t>Homogénéité</t>
  </si>
  <si>
    <t>Uniformité</t>
  </si>
  <si>
    <t>FTM</t>
  </si>
  <si>
    <t>Tension</t>
  </si>
  <si>
    <t>Collimation et align…</t>
  </si>
  <si>
    <t>Moniteurs 1ère part.</t>
  </si>
  <si>
    <t>Moniteurs 2è part.</t>
  </si>
  <si>
    <t>Image du fantôme</t>
  </si>
  <si>
    <t>Blindage</t>
  </si>
  <si>
    <t xml:space="preserve"> X</t>
  </si>
  <si>
    <t>Non C</t>
  </si>
  <si>
    <t>Force appliquée (Kg)</t>
  </si>
  <si>
    <t>Type</t>
  </si>
  <si>
    <t>Mesurée après</t>
  </si>
  <si>
    <t>1 minute</t>
  </si>
  <si>
    <t>Précision</t>
  </si>
  <si>
    <t>compression</t>
  </si>
  <si>
    <t>Mesure (mm)</t>
  </si>
  <si>
    <t>maximal</t>
  </si>
  <si>
    <t>d'acrylique</t>
  </si>
  <si>
    <t>Non C.</t>
  </si>
  <si>
    <t>Ôter la protection de la feuille</t>
  </si>
  <si>
    <t xml:space="preserve">  </t>
  </si>
  <si>
    <t>auto-std</t>
  </si>
  <si>
    <r>
      <t>C</t>
    </r>
    <r>
      <rPr>
        <vertAlign val="superscript"/>
        <sz val="9"/>
        <color theme="1"/>
        <rFont val="Arial"/>
        <family val="2"/>
      </rPr>
      <t>2</t>
    </r>
  </si>
  <si>
    <r>
      <t>R</t>
    </r>
    <r>
      <rPr>
        <vertAlign val="superscript"/>
        <sz val="9"/>
        <color theme="1"/>
        <rFont val="Arial"/>
        <family val="2"/>
      </rPr>
      <t>2</t>
    </r>
    <r>
      <rPr>
        <sz val="9"/>
        <color theme="1"/>
        <rFont val="Arial"/>
        <family val="2"/>
      </rPr>
      <t>: VMP(mAs)</t>
    </r>
  </si>
  <si>
    <r>
      <t>R</t>
    </r>
    <r>
      <rPr>
        <vertAlign val="superscript"/>
        <sz val="9"/>
        <color theme="1"/>
        <rFont val="Arial"/>
        <family val="2"/>
      </rPr>
      <t>2</t>
    </r>
    <r>
      <rPr>
        <sz val="9"/>
        <color theme="1"/>
        <rFont val="Arial"/>
        <family val="2"/>
      </rPr>
      <t>:C</t>
    </r>
    <r>
      <rPr>
        <vertAlign val="superscript"/>
        <sz val="9"/>
        <color theme="1"/>
        <rFont val="Arial"/>
        <family val="2"/>
      </rPr>
      <t>2</t>
    </r>
    <r>
      <rPr>
        <sz val="9"/>
        <color theme="1"/>
        <rFont val="Arial"/>
        <family val="2"/>
      </rPr>
      <t>(mAs)</t>
    </r>
  </si>
  <si>
    <r>
      <t>R</t>
    </r>
    <r>
      <rPr>
        <vertAlign val="superscript"/>
        <sz val="9"/>
        <color theme="1"/>
        <rFont val="Arial"/>
        <family val="2"/>
      </rPr>
      <t>2</t>
    </r>
    <r>
      <rPr>
        <sz val="9"/>
        <color theme="1"/>
        <rFont val="Arial"/>
        <family val="2"/>
      </rPr>
      <t>:C</t>
    </r>
    <r>
      <rPr>
        <vertAlign val="superscript"/>
        <sz val="9"/>
        <color theme="1"/>
        <rFont val="Arial"/>
        <family val="2"/>
      </rPr>
      <t>2</t>
    </r>
    <r>
      <rPr>
        <sz val="9"/>
        <color theme="1"/>
        <rFont val="Arial"/>
        <family val="2"/>
      </rPr>
      <t>(1/mAs)</t>
    </r>
  </si>
  <si>
    <r>
      <t>B-B</t>
    </r>
    <r>
      <rPr>
        <vertAlign val="subscript"/>
        <sz val="9"/>
        <color theme="1"/>
        <rFont val="Arial"/>
        <family val="2"/>
      </rPr>
      <t>0</t>
    </r>
  </si>
  <si>
    <r>
      <t>(B-B</t>
    </r>
    <r>
      <rPr>
        <vertAlign val="subscript"/>
        <sz val="9"/>
        <color theme="1"/>
        <rFont val="Arial"/>
        <family val="2"/>
      </rPr>
      <t>0</t>
    </r>
    <r>
      <rPr>
        <sz val="9"/>
        <color theme="1"/>
        <rFont val="Arial"/>
        <family val="2"/>
      </rPr>
      <t>)/mAs</t>
    </r>
  </si>
  <si>
    <r>
      <t>Moy((B-B</t>
    </r>
    <r>
      <rPr>
        <vertAlign val="subscript"/>
        <sz val="9"/>
        <color theme="1"/>
        <rFont val="Arial"/>
        <family val="2"/>
      </rPr>
      <t>0</t>
    </r>
    <r>
      <rPr>
        <sz val="9"/>
        <color theme="1"/>
        <rFont val="Arial"/>
        <family val="2"/>
      </rPr>
      <t>)/mAs</t>
    </r>
  </si>
  <si>
    <r>
      <t>B-B</t>
    </r>
    <r>
      <rPr>
        <vertAlign val="subscript"/>
        <sz val="9"/>
        <color theme="1"/>
        <rFont val="Arial"/>
        <family val="2"/>
      </rPr>
      <t>0 (actuel)</t>
    </r>
  </si>
  <si>
    <r>
      <t>B-B</t>
    </r>
    <r>
      <rPr>
        <vertAlign val="subscript"/>
        <sz val="9"/>
        <color theme="1"/>
        <rFont val="Arial"/>
        <family val="2"/>
      </rPr>
      <t>0 (antérieur)</t>
    </r>
  </si>
  <si>
    <r>
      <t>C</t>
    </r>
    <r>
      <rPr>
        <vertAlign val="subscript"/>
        <sz val="9"/>
        <color theme="1"/>
        <rFont val="Arial"/>
        <family val="2"/>
      </rPr>
      <t>(actuel)</t>
    </r>
  </si>
  <si>
    <r>
      <t>C</t>
    </r>
    <r>
      <rPr>
        <vertAlign val="subscript"/>
        <sz val="9"/>
        <color theme="1"/>
        <rFont val="Arial"/>
        <family val="2"/>
      </rPr>
      <t>(antérieur)</t>
    </r>
  </si>
  <si>
    <r>
      <t>SDNR</t>
    </r>
    <r>
      <rPr>
        <vertAlign val="subscript"/>
        <sz val="9"/>
        <color theme="1"/>
        <rFont val="Arial"/>
        <family val="2"/>
      </rPr>
      <t>(actuel)</t>
    </r>
  </si>
  <si>
    <r>
      <t>SDNR</t>
    </r>
    <r>
      <rPr>
        <vertAlign val="subscript"/>
        <sz val="9"/>
        <color theme="1"/>
        <rFont val="Arial"/>
        <family val="2"/>
      </rPr>
      <t>(antérieur)</t>
    </r>
  </si>
  <si>
    <t>vmp</t>
  </si>
  <si>
    <t>VMP  ROI</t>
  </si>
  <si>
    <t>VMP  (espace)</t>
  </si>
  <si>
    <t>Kg</t>
  </si>
  <si>
    <t>Comparaison aux valeurs antérieures en date de:</t>
  </si>
  <si>
    <t>Récepteur/Détecteur</t>
  </si>
  <si>
    <t>Précision absolue</t>
  </si>
  <si>
    <t>no:18x24</t>
  </si>
  <si>
    <t>no de vides</t>
  </si>
  <si>
    <t xml:space="preserve">Faire un tri ascendant (A-Z) sur "champ" </t>
  </si>
  <si>
    <t>doivent être vides pour les cassettes non</t>
  </si>
  <si>
    <t>utilisées afin de transférer correctement</t>
  </si>
  <si>
    <t xml:space="preserve">Linéarité   </t>
  </si>
  <si>
    <t>recommandés par l'étalonnage pour la</t>
  </si>
  <si>
    <t>combinaison anode/filtre sélectionnée.</t>
  </si>
  <si>
    <t>Mesure de la Couche de demi-atténuation (CDA)</t>
  </si>
  <si>
    <t>Écart entre le champ de RX et le récepteur (détecteur)
(mm)</t>
  </si>
  <si>
    <t>Distance source-image (DSI):</t>
  </si>
  <si>
    <t>liste des no de série</t>
  </si>
  <si>
    <t xml:space="preserve">Mesures antérieures </t>
  </si>
  <si>
    <t>xxxxx</t>
  </si>
  <si>
    <t>RMI-156</t>
  </si>
  <si>
    <t>Log (mAs)</t>
  </si>
  <si>
    <r>
      <t>R</t>
    </r>
    <r>
      <rPr>
        <vertAlign val="superscript"/>
        <sz val="9"/>
        <color theme="1"/>
        <rFont val="Arial"/>
        <family val="2"/>
      </rPr>
      <t>2</t>
    </r>
    <r>
      <rPr>
        <sz val="9"/>
        <color theme="1"/>
        <rFont val="Arial"/>
        <family val="2"/>
      </rPr>
      <t>: IE(log(mAs))</t>
    </r>
  </si>
  <si>
    <t>S'il s'agit d'un système logarithmique,</t>
  </si>
  <si>
    <t>pour lequel l'indice IE doit être tracer selon</t>
  </si>
  <si>
    <t>log(mAs), enlever la protection de la feuille</t>
  </si>
  <si>
    <r>
      <t>et déplacer les figures pour IE dans l'espace imprimable. Ajuster R</t>
    </r>
    <r>
      <rPr>
        <vertAlign val="superscript"/>
        <sz val="11"/>
        <color theme="1"/>
        <rFont val="Calibri"/>
        <family val="2"/>
        <scheme val="minor"/>
      </rPr>
      <t>2</t>
    </r>
  </si>
  <si>
    <t>si deux moniteurs secondaires</t>
  </si>
  <si>
    <t>section de comparaison N/A.</t>
  </si>
  <si>
    <t>des artéfacts peut se faire seulement</t>
  </si>
  <si>
    <t xml:space="preserve">B51 est une date antérieure qui est importé de </t>
  </si>
  <si>
    <t>l'évaluation précédente. Ultérieurement, il faudra</t>
  </si>
  <si>
    <t xml:space="preserve">bloquer cette date plutôt que de l'importer, et compare </t>
  </si>
  <si>
    <t>l'évolution de la zone 5 par rapport à cette première date disponible.</t>
  </si>
  <si>
    <t>idem</t>
  </si>
  <si>
    <t>1 livre = 0,4536 kg</t>
  </si>
  <si>
    <t>1 kg = 2,2046 livre</t>
  </si>
  <si>
    <t>Au besoin ôter la protection et changer Kg par lbs ou daN</t>
  </si>
  <si>
    <t xml:space="preserve">Normes: </t>
  </si>
  <si>
    <t>lbs</t>
  </si>
  <si>
    <t>Avant-gauche</t>
  </si>
  <si>
    <t>Avant-droit</t>
  </si>
  <si>
    <t>Arrière-gauche</t>
  </si>
  <si>
    <t>Arrière-droit</t>
  </si>
  <si>
    <t>Avant =  côté thorax</t>
  </si>
  <si>
    <t>Arrière = côté mamelon</t>
  </si>
  <si>
    <t>droit/gauche vue par pte</t>
  </si>
  <si>
    <t>20 et 0</t>
  </si>
  <si>
    <t>PMMA et cale(mm)</t>
  </si>
  <si>
    <t>45 et 8</t>
  </si>
  <si>
    <t>70 et 20</t>
  </si>
  <si>
    <t>agrand…</t>
  </si>
  <si>
    <t>des images résiduelles peut se faire</t>
  </si>
  <si>
    <t>sur le format 24x30 seulement</t>
  </si>
  <si>
    <t>Il s'agit avec une mire de plus haute résolution, de déterminer la fréquence de coupure soit la plus haute décelable.</t>
  </si>
  <si>
    <t>notez et ajustez les résultats.</t>
  </si>
  <si>
    <t>modifier la date pour la date la plus éloignée connue pour cette cassette</t>
  </si>
  <si>
    <t>Comparaison des équipements du centre</t>
  </si>
  <si>
    <t>a*x^b</t>
  </si>
  <si>
    <t>a</t>
  </si>
  <si>
    <t>Ajuster les unités de l'indice d'exposition en fonction du tableau 2 du Guide qui est reproduit ici,</t>
  </si>
  <si>
    <t>et selon le fabricant et modèle rencontrés:</t>
  </si>
  <si>
    <t>fonction de puissance</t>
  </si>
  <si>
    <t>GRAND foyer</t>
  </si>
  <si>
    <t>PETIT foyer</t>
  </si>
  <si>
    <t>VMP (esp-barre)=</t>
  </si>
  <si>
    <t>ou comparer avec les spécifications du fabricant.</t>
  </si>
  <si>
    <t>mAs obtenu=</t>
  </si>
  <si>
    <t>Le test d'uniformité des cassettes découle de l'homogénéité</t>
  </si>
  <si>
    <t>pour une mauvaise raison.</t>
  </si>
  <si>
    <t>bureau Dr Ladouceur</t>
  </si>
  <si>
    <t>salle 5043</t>
  </si>
  <si>
    <t>Sectra d40 n'est pas publié</t>
  </si>
  <si>
    <t xml:space="preserve">Les cases à fond blanc sont des cases où des données doivent être insérées. </t>
  </si>
  <si>
    <t xml:space="preserve">Les cases à fond jaune pâle sont des cases calculées et protégées. </t>
  </si>
  <si>
    <t>Les cases à fond rouge clair signifient que les calculs ont démontré que le critère de passage n'est pas atteint ce qui conduira à un « X » dans la colonne de conformité.</t>
  </si>
  <si>
    <t xml:space="preserve">Le sommaire de l’onglet « info » décèle s'il y a des anomalies dans les autres onglets. </t>
  </si>
  <si>
    <t>Chaque page contient un en-tête qui reprend quatre informations provenant de l’onglet « info », soit le nom du centre, le nom du physicien, la date de l’évaluation ainsi que l’équipement vérifié.</t>
  </si>
  <si>
    <t>Commentaires généraux</t>
  </si>
  <si>
    <t>2.3 SEA</t>
  </si>
  <si>
    <t>Si le système est un CR, une seule cassette est analysée pour l'évolution. Mais advenant un échec, le physicien considérera l'évolution pour d'autres cassettes.</t>
  </si>
  <si>
    <t>On peut changer celle-ci en sélectionnant manuellement après avoir enlever la protection de la feuille.</t>
  </si>
  <si>
    <t>Le physicien appliquera à son kVmètre les coefficients d'étalonnage fournis en fonction des différentes combinaisons anode/filtre.</t>
  </si>
  <si>
    <t>Deux onglets sont requis pour l'évaluation d'une console à deux moniteurs.</t>
  </si>
  <si>
    <t>Si on a affaire à un moniteur secondaire unique, un ajustement est requis pour éliminer ou masquer la section en trop.</t>
  </si>
  <si>
    <t>On peut cependant utiliser le deuxième espace pour qualifier le moniteur du mammographe au besoin.</t>
  </si>
  <si>
    <t>La comparaison de SDNR avec une date antérieure est faite avec la date la plus éloignée connue pour la cassette utilisée.</t>
  </si>
  <si>
    <t>L'évaluation des négatoscopes encore en utilisation serait potentiellement rapportée dans cette page.</t>
  </si>
  <si>
    <t>Si les mAs résultants des mesures faites sous SEA paraissent inconstants, le physicien procédera d'abord à une analyse de la reproductibilité du SEA.</t>
  </si>
  <si>
    <t>Les titres sont en Arial 10, les autres cases en Arial 9.</t>
  </si>
  <si>
    <t>Contient les paramètres requis pour identifier le centre de mammographie et ses intervenants.</t>
  </si>
  <si>
    <t>Identifie une salle et un nom d'appareil qui fait l'objet de l'évaluation.</t>
  </si>
  <si>
    <t>Identifie la date de l'évaluation ainsi que la date de l'évaluation antérieure si connue.</t>
  </si>
  <si>
    <t>Le bas de page identifie la version du formulaire utilisé.</t>
  </si>
  <si>
    <t>Des informations entrées ici sont reproduites dans des onglets plus loin directement dans certaines cellules ou dans des listes déroulantes.</t>
  </si>
  <si>
    <t>Il en est ainsi également pour l'analyse de l'image résiduelle.</t>
  </si>
  <si>
    <t>La zone 5 est aussi comparée par rapport à l'évolution dans le temps.</t>
  </si>
  <si>
    <t>La stabilité du kV est évaluée pour 5 mesures suivi de 5 mesures additionnelles si le test échoue après les 5 premières.</t>
  </si>
  <si>
    <t>Institution</t>
  </si>
  <si>
    <t>Autres</t>
  </si>
  <si>
    <t>Voir page correspondante</t>
  </si>
  <si>
    <t>Description</t>
  </si>
  <si>
    <t>Module de stéréotaxie</t>
  </si>
  <si>
    <t>Imprimante</t>
  </si>
  <si>
    <t>Numériseur</t>
  </si>
  <si>
    <t>L’appareil est mécaniquement stable.</t>
  </si>
  <si>
    <t>Le patient et l’opérateur ne sont pas exposés à des blessures (ex. : surface rude, rebords obtus, plaque de compression craquelée…), ni à des chocs électriques.</t>
  </si>
  <si>
    <t>Le support du récepteur d’image ne vibre pas pendant les expositions.</t>
  </si>
  <si>
    <t>Le mécanisme de compression fonctionne bien.</t>
  </si>
  <si>
    <t>La compression automatique peut être annulée pour être prise en charge par une compression manuelle.</t>
  </si>
  <si>
    <t>Les indicateurs d'angulation fonctionnent correctement.</t>
  </si>
  <si>
    <t>La gaine du tube radiogène est intacte.</t>
  </si>
  <si>
    <t>Commentaires et recommandations du physicien:</t>
  </si>
  <si>
    <t>Affichée</t>
  </si>
  <si>
    <t>Mesurée</t>
  </si>
  <si>
    <t>Compression automatique maximale</t>
  </si>
  <si>
    <t>Autre compression</t>
  </si>
  <si>
    <t>Compression manuelle maximale</t>
  </si>
  <si>
    <t>Plaque de</t>
  </si>
  <si>
    <t>Format (cm)</t>
  </si>
  <si>
    <t>Épaisseur</t>
  </si>
  <si>
    <t>Lecture</t>
  </si>
  <si>
    <t>Mode auto</t>
  </si>
  <si>
    <t>Compression
(kg)</t>
  </si>
  <si>
    <t>Grille</t>
  </si>
  <si>
    <t>Réglage
densité</t>
  </si>
  <si>
    <t>Objet
contraste</t>
  </si>
  <si>
    <t>Anode/filtre système</t>
  </si>
  <si>
    <t>Établir la conformité en comparant SDNR avec la table qui suit: (AIEA)</t>
  </si>
  <si>
    <r>
      <rPr>
        <sz val="8"/>
        <color theme="1"/>
        <rFont val="Arial"/>
        <family val="2"/>
      </rPr>
      <t>Excentrement (B</t>
    </r>
    <r>
      <rPr>
        <vertAlign val="subscript"/>
        <sz val="8"/>
        <color theme="1"/>
        <rFont val="Arial"/>
        <family val="2"/>
      </rPr>
      <t>0</t>
    </r>
    <r>
      <rPr>
        <sz val="8"/>
        <color theme="1"/>
        <rFont val="Arial"/>
        <family val="2"/>
      </rPr>
      <t>)</t>
    </r>
    <r>
      <rPr>
        <sz val="9"/>
        <color theme="1"/>
        <rFont val="Arial"/>
        <family val="2"/>
      </rPr>
      <t xml:space="preserve">
VMP(mAs)</t>
    </r>
  </si>
  <si>
    <t>Selon mAs</t>
  </si>
  <si>
    <t>Artéfact de grille</t>
  </si>
  <si>
    <t xml:space="preserve">Globalement, les artéfacts sont-ils acceptables? </t>
  </si>
  <si>
    <t>Champ</t>
  </si>
  <si>
    <t>cass#4</t>
  </si>
  <si>
    <t>cass#5</t>
  </si>
  <si>
    <t>cass#6</t>
  </si>
  <si>
    <t>cass#7</t>
  </si>
  <si>
    <t>cass#8</t>
  </si>
  <si>
    <t>cass#9</t>
  </si>
  <si>
    <t>cass#10</t>
  </si>
  <si>
    <t>cass#11</t>
  </si>
  <si>
    <t>cass#12</t>
  </si>
  <si>
    <t>cass#13</t>
  </si>
  <si>
    <t>cass#14</t>
  </si>
  <si>
    <t>cass#15</t>
  </si>
  <si>
    <t>cass#16</t>
  </si>
  <si>
    <t>cass#17</t>
  </si>
  <si>
    <t>cass#18</t>
  </si>
  <si>
    <t>cass#19</t>
  </si>
  <si>
    <t>cass#20</t>
  </si>
  <si>
    <t>cass#21</t>
  </si>
  <si>
    <t>Dist mire-image</t>
  </si>
  <si>
    <t>Dist foyer-image</t>
  </si>
  <si>
    <t>Écart-type ROI</t>
  </si>
  <si>
    <t>Interpolation</t>
  </si>
  <si>
    <t>Stabilité de la tension</t>
  </si>
  <si>
    <t>Coefficient 
variation après
 5 mesures</t>
  </si>
  <si>
    <t>Coefficient  
variation après
 10 mesures</t>
  </si>
  <si>
    <t xml:space="preserve">Distance source mesure </t>
  </si>
  <si>
    <t>Tension affichée
Grand foyer</t>
  </si>
  <si>
    <t>Tension affichée
Petit foyer</t>
  </si>
  <si>
    <t>Tension mesurée</t>
  </si>
  <si>
    <t>Distance source-image:</t>
  </si>
  <si>
    <t>Mode de rétroaction automatique sur SEA</t>
  </si>
  <si>
    <t>Rapporté à  la surface du PMMA et corrigé pour étalonnage</t>
  </si>
  <si>
    <t>Distance foyer-support sein</t>
  </si>
  <si>
    <t xml:space="preserve">Plaque de compression (oui/non): </t>
  </si>
  <si>
    <t>Distance source-sonde (cm):</t>
  </si>
  <si>
    <t>Couverture du récepteur (côté droit)</t>
  </si>
  <si>
    <t>Couverture du récepteur (côté gauche)</t>
  </si>
  <si>
    <t>Couverture du récepteur (côté distal)</t>
  </si>
  <si>
    <t>Couverture du récepteur (côté paroi thoracique)</t>
  </si>
  <si>
    <t>No série</t>
  </si>
  <si>
    <t>Mode
d'exposition</t>
  </si>
  <si>
    <t>Marque</t>
  </si>
  <si>
    <t>Commentaires</t>
  </si>
  <si>
    <t>Organisme
calibration</t>
  </si>
  <si>
    <t>Date
 calibration</t>
  </si>
  <si>
    <t>cass#1</t>
  </si>
  <si>
    <t>mediane</t>
  </si>
  <si>
    <t xml:space="preserve">À noter que les formulaires sont remplis de données fictives pour montrer un exemple d'utilisation. </t>
  </si>
  <si>
    <t>Les cases à fond bleu pâle sont des listes déroulantes pour un choix d'insertion.  La liste est dans la partie droite non imprimable, elle peut être changée, adaptée au besoin.</t>
  </si>
  <si>
    <t>Le mot de  passe pour ôter la protection des feuilles de calcul est le chiffre « 1 ».</t>
  </si>
  <si>
    <t>En associant les pages pertinentes on peut lancer une impression sur une imprimante virtuelle qui en fera un "pdf" paginé en bas de page.</t>
  </si>
  <si>
    <t>Présente un tableau sommaire des conformités des tests en décelant pour chaque page les "X" dans les colonnes de non-conformité.</t>
  </si>
  <si>
    <t xml:space="preserve">Identifie le matériel en évaluation. </t>
  </si>
  <si>
    <t>Technologie, Marque, modèle, no série, année de fabrication, emplacement…</t>
  </si>
  <si>
    <t>Si le détecteur est un DR la section qui comporte des éléments associés aux cassettes est déclarée  "n.a"  c'est-à-dire "non applicable".</t>
  </si>
  <si>
    <t>Les unités privilégiées sont les kg. Une table de conversion est fournie.</t>
  </si>
  <si>
    <t>Si les unités raportées sont directement en daN ou en livre, il conviendra d'enlever la protection et changer les cellules qui mentionnent kg, normes comprises.</t>
  </si>
  <si>
    <t>Au besoin il faudra enlever la protection de la feuille, remplacer un graphique ou modifier un paramètre.</t>
  </si>
  <si>
    <t>Si le système analysé est un DR,  l'observation des artéfacts peut se faire seulement sur le format 24x30.</t>
  </si>
  <si>
    <t>9 zones en arceaux sont ici évaluées (la même méthode sera utilisée dans CQ-mammo).</t>
  </si>
  <si>
    <t>Cet onglet tire ses informations des précédents pour la zone 5, champs, mAs et identification de cassettes.</t>
  </si>
  <si>
    <t>Pour reclasser en ordre les cassettes pour une même dimension de champ, il faut enlever la protection, puis avec le bouton de filtration, choisir l'ordre A-Z.</t>
  </si>
  <si>
    <t>Tout se calcule automatiquement y compris la sélection de la cassette de référence.</t>
  </si>
  <si>
    <t>A la ligne 21, on pourra insérer les valeurs obtenues directement de l'instrument de mesure, le cas échéant.</t>
  </si>
  <si>
    <t>Pour ce faire il faudra enlever la protection de ces cellules.</t>
  </si>
  <si>
    <t>Le système recherche dans les tableaux les valeurs de g,c,s  en fonction de la CDA  puis il y a une correction d'interpolation linéaire appliquée.</t>
  </si>
  <si>
    <t>Des listes déroulantes provenant de l'onglet équipement sont réalisés pour bien identifier le moniteur sous observation.</t>
  </si>
  <si>
    <t>Dans ce cas ne pas oublier d'enlever la comparaison entre les deux moniteurs puisque cela ne serait pas applicable.</t>
  </si>
  <si>
    <t>Ne pas oublier de qualifier le fantôme pour les deux formats de champ. Une image des deux formats bien identifiés sera requise au LSPQ.</t>
  </si>
  <si>
    <t>Cette page pourra servir pour l'évaluation des autres composantes déclarées dans l'onglet équipement.</t>
  </si>
  <si>
    <t>diff médiane</t>
  </si>
  <si>
    <t>min diff</t>
  </si>
  <si>
    <t>rang de la cassette avec la plus petite différence à la médiane</t>
  </si>
  <si>
    <t xml:space="preserve">L’identification du centre et du patient, la date et l’heure d’acquisition ainsi que les facteurs techniques sont présents lors de l’affichage de l’image sur la console d’acquisition. </t>
  </si>
  <si>
    <t>L'appareil est sécuritaire dans son ensemble.</t>
  </si>
  <si>
    <t>18x24 adjacent au disque</t>
  </si>
  <si>
    <t>24X30 adjacent au disque</t>
  </si>
  <si>
    <t>Nom de Cie :</t>
  </si>
  <si>
    <t>Adresse du physicien ou Cie :</t>
  </si>
  <si>
    <r>
      <t xml:space="preserve">Nom du centre : </t>
    </r>
    <r>
      <rPr>
        <i/>
        <sz val="9"/>
        <color rgb="FFFF0000"/>
        <rFont val="Arial"/>
        <family val="2"/>
      </rPr>
      <t>(*)</t>
    </r>
  </si>
  <si>
    <r>
      <t xml:space="preserve">Adresse </t>
    </r>
    <r>
      <rPr>
        <sz val="9"/>
        <rFont val="Arial"/>
        <family val="2"/>
      </rPr>
      <t>:</t>
    </r>
  </si>
  <si>
    <t>Ville :</t>
  </si>
  <si>
    <t>Code postal :</t>
  </si>
  <si>
    <t>Téléphone :</t>
  </si>
  <si>
    <t>Télécopieur :</t>
  </si>
  <si>
    <t>Accréditation PAM (oui/non) :</t>
  </si>
  <si>
    <t>Nombre de mammographes :</t>
  </si>
  <si>
    <r>
      <t>Mammographe vérifié :</t>
    </r>
    <r>
      <rPr>
        <i/>
        <sz val="9"/>
        <color rgb="FFFF0000"/>
        <rFont val="Arial"/>
        <family val="2"/>
      </rPr>
      <t>(*)</t>
    </r>
  </si>
  <si>
    <t>Radiologiste responsable :</t>
  </si>
  <si>
    <t>Technologue responsable :</t>
  </si>
  <si>
    <t>Technologue rencontré :</t>
  </si>
  <si>
    <t>Vérification complète ou particulière :</t>
  </si>
  <si>
    <t>Raison de la vérification particulière :</t>
  </si>
  <si>
    <t>Courriel :</t>
  </si>
  <si>
    <t>Certification PQDCS (CDD ou CRID) :</t>
  </si>
  <si>
    <t>Signature du physicien :</t>
  </si>
  <si>
    <r>
      <t>Nom du physicien :</t>
    </r>
    <r>
      <rPr>
        <i/>
        <sz val="9"/>
        <color rgb="FFFF0000"/>
        <rFont val="Arial"/>
        <family val="2"/>
      </rPr>
      <t>(*)</t>
    </r>
  </si>
  <si>
    <r>
      <t>Date de l’évaluation :</t>
    </r>
    <r>
      <rPr>
        <i/>
        <sz val="9"/>
        <color rgb="FFFF0000"/>
        <rFont val="Arial"/>
        <family val="2"/>
      </rPr>
      <t>(*)</t>
    </r>
  </si>
  <si>
    <t>Date de rédaction du rapport :</t>
  </si>
  <si>
    <t xml:space="preserve">Évaluation antérieure : </t>
  </si>
  <si>
    <t>Autres :</t>
  </si>
  <si>
    <t>Lieu :</t>
  </si>
  <si>
    <t>Équipement :</t>
  </si>
  <si>
    <t>Date :</t>
  </si>
  <si>
    <t xml:space="preserve">Physicien : </t>
  </si>
  <si>
    <t>Technologie (mode CR ou DR) :</t>
  </si>
  <si>
    <t>Fabricant du mammographe :</t>
  </si>
  <si>
    <t>Numéro de série :</t>
  </si>
  <si>
    <t>Distance source-image (mm) :</t>
  </si>
  <si>
    <t>Année de fabrication :</t>
  </si>
  <si>
    <t>Matériaux : anode1-anode2</t>
  </si>
  <si>
    <t>Filtres ajoutés disponibles :</t>
  </si>
  <si>
    <t>Nombre et taille des foyers :</t>
  </si>
  <si>
    <t>Numéro de série (18x24) :</t>
  </si>
  <si>
    <t>Numéro de série (24x30) :</t>
  </si>
  <si>
    <t>Fabricant/Modèle :</t>
  </si>
  <si>
    <t>Salle de lecture : (#console)</t>
  </si>
  <si>
    <t>Station :</t>
  </si>
  <si>
    <t>Porte-grille (bucky) (CR)</t>
  </si>
  <si>
    <t>Salle 2, Hirad IV</t>
  </si>
  <si>
    <t>bureau Dr Xxx (console #3)</t>
  </si>
  <si>
    <t>5 mégapixels</t>
  </si>
  <si>
    <t>3  mégapixels</t>
  </si>
  <si>
    <r>
      <t>Fabricant :</t>
    </r>
    <r>
      <rPr>
        <i/>
        <sz val="8"/>
        <rFont val="Arial"/>
        <family val="2"/>
      </rPr>
      <t xml:space="preserve"> (moniteur gauche)</t>
    </r>
  </si>
  <si>
    <r>
      <t>Fabricant :</t>
    </r>
    <r>
      <rPr>
        <i/>
        <sz val="8"/>
        <rFont val="Arial"/>
        <family val="2"/>
      </rPr>
      <t xml:space="preserve"> (moniteur droit)</t>
    </r>
  </si>
  <si>
    <t>Test 1 : Évaluation générale de l'unité de mammographie</t>
  </si>
  <si>
    <t>Commentaires et recommandations du physicien :</t>
  </si>
  <si>
    <t>Test 2 : Force de compression et précision des indicateurs (force et épaisseur)</t>
  </si>
  <si>
    <t xml:space="preserve">    ▪    La plaque de compression devrait être parallèle à la surface du récepteur ou détecteur. L’écart maximal entre les mesures doit être inférieur</t>
  </si>
  <si>
    <t>Test 3 : Évaluation du Système d’exposition automatique (SEA)</t>
  </si>
  <si>
    <t xml:space="preserve">Commentaires et recommandations du physicien :    </t>
  </si>
  <si>
    <t>Test 4 : Réponse du détecteur, des récepteurs et analyse du bruit</t>
  </si>
  <si>
    <t xml:space="preserve">Norme : </t>
  </si>
  <si>
    <t>Suite des calculs :</t>
  </si>
  <si>
    <t xml:space="preserve">    ▪    Écart inférieur à 10%.</t>
  </si>
  <si>
    <t xml:space="preserve">    ▪    moins de 10% d'écart par rapport à la valeur antérieure.</t>
  </si>
  <si>
    <t xml:space="preserve">    ▪    L’échelle de compression doit être précise à ± 8mm ( ± 5 mm est normalement atteignable) pour une compression typique utilisée en clinique.</t>
  </si>
  <si>
    <t xml:space="preserve">Norme :  </t>
  </si>
  <si>
    <t>Comparaison aux valeurs antérieures en date de :</t>
  </si>
  <si>
    <t>Norme :</t>
  </si>
  <si>
    <t>Paramètres utilisés :</t>
  </si>
  <si>
    <r>
      <t>Absorbant (PMMA, mm) :</t>
    </r>
    <r>
      <rPr>
        <u/>
        <sz val="9"/>
        <rFont val="Arial"/>
        <family val="2"/>
      </rPr>
      <t xml:space="preserve"> </t>
    </r>
  </si>
  <si>
    <t>kV :</t>
  </si>
  <si>
    <t xml:space="preserve">Position de la cellule : </t>
  </si>
  <si>
    <t>Densité sélectionnée :</t>
  </si>
  <si>
    <t xml:space="preserve">Mode d'exposition sélectionné : </t>
  </si>
  <si>
    <t xml:space="preserve">Foyer  G/P : </t>
  </si>
  <si>
    <t>Tests 5 et 6 : Distorsion géométrique du détecteur, des récepteurs et détection d’images résiduelles</t>
  </si>
  <si>
    <t xml:space="preserve">Norme :  </t>
  </si>
  <si>
    <t xml:space="preserve">    ▪    images résiduelles ≤ 2.</t>
  </si>
  <si>
    <t>Test 7 (1ère partie) : Homogénéité du détecteur ou des récepteurs</t>
  </si>
  <si>
    <t xml:space="preserve">Paramètres utilisés : </t>
  </si>
  <si>
    <t>Anode/filtre :</t>
  </si>
  <si>
    <t># de cassette :</t>
  </si>
  <si>
    <t>mAs obtenu :</t>
  </si>
  <si>
    <t xml:space="preserve">Normes :  </t>
  </si>
  <si>
    <t>Évolution dans le temps : Paramètres utilisés</t>
  </si>
  <si>
    <t>Test 7 (2è partie) : Uniformité des récepteurs</t>
  </si>
  <si>
    <t xml:space="preserve">    ▪    Variation maximale entre les plaques photostimulables : RSB ± 15 %. (ou 15% de la moyenne).</t>
  </si>
  <si>
    <t xml:space="preserve">    ▪    La charge (en mAs) entre les différentes expositions des plaques aux mêmes conditions ne devrait pas varier de ± 5% de la moyenne.</t>
  </si>
  <si>
    <t xml:space="preserve">Normes : </t>
  </si>
  <si>
    <t xml:space="preserve">    ▪    Coefficient de variation ≤ 2%, Si le coefficient de variation excède 2%, faire 5 lectures additionnelles et recalculer en utilisant les 10 lectures.</t>
  </si>
  <si>
    <t>Commentaires et Recommandations du physicien :</t>
  </si>
  <si>
    <t xml:space="preserve">    ▪     écart à la linéarité ≤ 5%.</t>
  </si>
  <si>
    <t>Test 10 : Couche de demi-atténuation (CDA)</t>
  </si>
  <si>
    <t>Test 11 : Kerma incident dans l’air à la surface des plaques de PMMA</t>
  </si>
  <si>
    <t>Test 12 : Dose glandulaire moyenne (DGM)</t>
  </si>
  <si>
    <t xml:space="preserve">Norme : CDA minimale </t>
  </si>
  <si>
    <t xml:space="preserve">Norme : CDA maximale  </t>
  </si>
  <si>
    <t>Test 13 : Collimation (congruence, alignement, tissu manquant)</t>
  </si>
  <si>
    <t>Toutes les plaques de compression utilisées en mammographie sont conformes :</t>
  </si>
  <si>
    <t xml:space="preserve">    ▪    Le bord de la plaque de compression ne doit pas apparaître sur l’image.</t>
  </si>
  <si>
    <r>
      <t xml:space="preserve">    ▪    La limite d’alignement entre la plaque de compression et le récepteur d’image est de </t>
    </r>
    <r>
      <rPr>
        <b/>
        <i/>
        <sz val="8"/>
        <rFont val="Arial"/>
        <family val="2"/>
      </rPr>
      <t>1 % de la DSI</t>
    </r>
    <r>
      <rPr>
        <i/>
        <sz val="8"/>
        <rFont val="Arial"/>
        <family val="2"/>
      </rPr>
      <t xml:space="preserve">. </t>
    </r>
  </si>
  <si>
    <r>
      <t xml:space="preserve">    ▪    Le total du désalignement (valeur absolue de la somme des désalignements des côtés opposés) </t>
    </r>
    <r>
      <rPr>
        <b/>
        <i/>
        <sz val="8"/>
        <rFont val="Arial"/>
        <family val="2"/>
      </rPr>
      <t>ne peut excéder 2 % de la DSI</t>
    </r>
    <r>
      <rPr>
        <i/>
        <sz val="8"/>
        <rFont val="Arial"/>
        <family val="2"/>
      </rPr>
      <t>.</t>
    </r>
  </si>
  <si>
    <r>
      <t xml:space="preserve">    ▪    Le champ de radiation doit couvrir </t>
    </r>
    <r>
      <rPr>
        <b/>
        <i/>
        <sz val="8"/>
        <rFont val="Arial"/>
        <family val="2"/>
      </rPr>
      <t>entièrement</t>
    </r>
    <r>
      <rPr>
        <i/>
        <sz val="8"/>
        <rFont val="Arial"/>
        <family val="2"/>
      </rPr>
      <t xml:space="preserve"> le récepteur sans dépasser le plateau support.</t>
    </r>
  </si>
  <si>
    <t>Distance source-image (DSI) :</t>
  </si>
  <si>
    <r>
      <t xml:space="preserve">Normes :   </t>
    </r>
    <r>
      <rPr>
        <sz val="8"/>
        <rFont val="Arial"/>
        <family val="2"/>
      </rPr>
      <t/>
    </r>
  </si>
  <si>
    <t>Test 14 : Conditions d’affichage et de lecture</t>
  </si>
  <si>
    <t xml:space="preserve">    ▪    La déviation maximale de la luminance aux coins d'un moniteur </t>
  </si>
  <si>
    <t>Test 14 : Conditions d’affichage et de lecture (suite)</t>
  </si>
  <si>
    <t>Norme : écart de luminance maximale entre les moniteurs ≤ 10%</t>
  </si>
  <si>
    <t xml:space="preserve">        ne doit pas excéder 15% de la valeur au centre</t>
  </si>
  <si>
    <t>Normes :</t>
  </si>
  <si>
    <t xml:space="preserve">Moniteur : </t>
  </si>
  <si>
    <t>No série :</t>
  </si>
  <si>
    <t>Échelle de gris :</t>
  </si>
  <si>
    <t>Normes : écart inférieur à 10% :</t>
  </si>
  <si>
    <t>Test 15 : Évaluation de l’image du fantôme</t>
  </si>
  <si>
    <t>Position SEA :</t>
  </si>
  <si>
    <t xml:space="preserve"> Densité :</t>
  </si>
  <si>
    <t># cassette :</t>
  </si>
  <si>
    <t>Modèle du fantôme utilisé :</t>
  </si>
  <si>
    <t>N° de série du fantôme :</t>
  </si>
  <si>
    <t xml:space="preserve">Combinaison anode/filtre : </t>
  </si>
  <si>
    <t>Date antérieure la plus éloignée :</t>
  </si>
  <si>
    <t>norme : ≥ 4,5</t>
  </si>
  <si>
    <t>norme : ≥ 3,5</t>
  </si>
  <si>
    <t>Observées :</t>
  </si>
  <si>
    <t>Déduction :</t>
  </si>
  <si>
    <t>Total :</t>
  </si>
  <si>
    <t>Observés :</t>
  </si>
  <si>
    <t>Test 16 : Blindage de la salle et protection de l’opérateur</t>
  </si>
  <si>
    <t>A prendre en compte : le volume de travail du centre (nombre de patientes) par semaine, le facteur et le type</t>
  </si>
  <si>
    <t>Volume de travail par semaine :</t>
  </si>
  <si>
    <t>Informations sur : Équipements de mesure et étalonnage</t>
  </si>
  <si>
    <t>Commentaires additionnels du physicien :</t>
  </si>
  <si>
    <t>Cette page étant intentionnellement vierge, le physicien produira sa propre mise en page en s'inspirant des généralités apparaissant au début de  cette liste.</t>
  </si>
  <si>
    <t>Un croquis à l'échelle sera déposé dans la zone réservée à cet effet.  A copier coller à partir d'un logiciel de dessin, ou un plan existant pourrait être scanné et l'image reproduite ici.</t>
  </si>
  <si>
    <t>Les Kerma doivent être rapportés à la surface des feuilles de PMMA. La loi de l'inverse du carré de la distance est suggérée ici à partir de mesures à 45 mm ou à 0 mm.</t>
  </si>
  <si>
    <t>Un tableau est aussi réservé pour établir une comparaison entre des instruments utilisés par le centre, notamment un photomètre et un dynamomètre (ou pèse-personne).</t>
  </si>
  <si>
    <t xml:space="preserve"> - </t>
  </si>
  <si>
    <t xml:space="preserve">Instructions d'utilisation des formulaires </t>
  </si>
  <si>
    <t xml:space="preserve">L'information contenue dans cet onglet a pour but d'expliquer de manière générale l'utilisation de chaque formulaire (présent dans chaque onglet de ce document). Par conséquent, cet onglet ne fait pas partie du rapport de vérification du physicien médical. </t>
  </si>
  <si>
    <t>onglets (formulaires) :</t>
  </si>
  <si>
    <t xml:space="preserve">La conformité ou la non-conformité apparaissent presque toujours dans les colonnes de droite. </t>
  </si>
  <si>
    <t>Certaines informations des onglets « info » et « eqpmt » sont reprises par des feuilles subséquentes (ex. DR ou CR, station de visionnement, date d'examens antérieurs, etc.).</t>
  </si>
  <si>
    <t>Retient 4 paramètres pour constituer les en-têtes de toutes les prochaines pages.</t>
  </si>
  <si>
    <t>Les normes sont présentées dans les formulaires avec le format Arial italique 8 points.</t>
  </si>
  <si>
    <t>2.5-2.6 Artéfacts</t>
  </si>
  <si>
    <t>Considérer sur le graphique le coefficient de détermination et au besoin, interpoler linéairement entre deux points,</t>
  </si>
  <si>
    <t>Indiquer les instruments de mesure utilisés et les dates d'étallonnage ainsi que l'organisme ayant procédé à l'étallonage.</t>
  </si>
  <si>
    <t>Info</t>
  </si>
  <si>
    <t>Éqpmt</t>
  </si>
  <si>
    <t>2.1 Général</t>
  </si>
  <si>
    <t>2.2 Compression</t>
  </si>
  <si>
    <t>2.4 Détecteur(lin), 2.4 Détecteur(log)</t>
  </si>
  <si>
    <t>2.7 Unifo</t>
  </si>
  <si>
    <t>2.9 Tension</t>
  </si>
  <si>
    <t>2.14 abMON,  2.14 cMON ……</t>
  </si>
  <si>
    <t>2.15 Fantôme</t>
  </si>
  <si>
    <t>2.16 Blindage</t>
  </si>
  <si>
    <t>Éq.Mes.Étal.</t>
  </si>
  <si>
    <t>2.10-11-12 CDA_Kerma_DGM</t>
  </si>
  <si>
    <t>Le jugement du physicien est requis pour utiliser 1/mAs ou log(mAs).</t>
  </si>
  <si>
    <t>Norme : tableau 4 du Guide. A être fait dans les limites de doses acceptables pour DGM.</t>
  </si>
  <si>
    <t xml:space="preserve">Commentaires et recommandations du physicien : </t>
  </si>
  <si>
    <t xml:space="preserve"> Norme :  </t>
  </si>
  <si>
    <t>Norme : écart de moins de 15% sur photomètre, et moins de 1kg sur dynamomètre.</t>
  </si>
  <si>
    <t xml:space="preserve">    ▪    L'évolution temporelle doit être moindre de 30%.</t>
  </si>
  <si>
    <r>
      <t>R</t>
    </r>
    <r>
      <rPr>
        <vertAlign val="superscript"/>
        <sz val="9"/>
        <color theme="1"/>
        <rFont val="Arial"/>
        <family val="2"/>
      </rPr>
      <t>2</t>
    </r>
    <r>
      <rPr>
        <sz val="9"/>
        <color theme="1"/>
        <rFont val="Arial"/>
        <family val="2"/>
      </rPr>
      <t>: SDNR</t>
    </r>
    <r>
      <rPr>
        <vertAlign val="superscript"/>
        <sz val="9"/>
        <color theme="1"/>
        <rFont val="Arial"/>
        <family val="2"/>
      </rPr>
      <t>2</t>
    </r>
    <r>
      <rPr>
        <sz val="9"/>
        <color theme="1"/>
        <rFont val="Arial"/>
        <family val="2"/>
      </rPr>
      <t>(mAs)</t>
    </r>
  </si>
  <si>
    <r>
      <t>SDNR</t>
    </r>
    <r>
      <rPr>
        <vertAlign val="superscript"/>
        <sz val="9"/>
        <color theme="1"/>
        <rFont val="Arial"/>
        <family val="2"/>
      </rPr>
      <t>2</t>
    </r>
  </si>
  <si>
    <r>
      <t>R</t>
    </r>
    <r>
      <rPr>
        <vertAlign val="superscript"/>
        <sz val="9"/>
        <color theme="1"/>
        <rFont val="Arial"/>
        <family val="2"/>
      </rPr>
      <t>2</t>
    </r>
    <r>
      <rPr>
        <sz val="9"/>
        <color theme="1"/>
        <rFont val="Arial"/>
        <family val="2"/>
      </rPr>
      <t>: IE(1/mAs)</t>
    </r>
  </si>
  <si>
    <t>Les normes sont dans le tableau des fabricants et modèle. Attention l'orientation par rapport à la paroi thoracique.</t>
  </si>
  <si>
    <t>Identifie le physicien évaluateur, sa firme, et les coordonnées. Changer le logo du MSSS par celui de la firme ayant fait l'étude.</t>
  </si>
  <si>
    <t>Commentaires reçus par le LSPQ ayant permis d'apporter les modifications</t>
  </si>
  <si>
    <t>Onglets concernés</t>
  </si>
  <si>
    <t>Pas de critère précis; pour référence seulement. Apprécier l'évolution raisonnable en %</t>
  </si>
  <si>
    <t>Si le système analysé est un DR,  l'observation</t>
  </si>
  <si>
    <t>Alors, sélectionner un champ vide et le test s'ajuste.</t>
  </si>
  <si>
    <t>et le relevé des mAs nécessite une bonne reproductibilité du SEA.</t>
  </si>
  <si>
    <t>Il convient de s'en assurer pour éviter que le test d'homognénéité échoue</t>
  </si>
  <si>
    <t>et reformater.</t>
  </si>
  <si>
    <t>N.b. les cases VMP, écart-type et champs</t>
  </si>
  <si>
    <t>Appliquer sur le kV mètre les facteurs de corrections</t>
  </si>
  <si>
    <r>
      <t xml:space="preserve">    ▪  L'exactitude de l'affichage est de </t>
    </r>
    <r>
      <rPr>
        <sz val="8"/>
        <rFont val="Calibri"/>
        <family val="2"/>
      </rPr>
      <t xml:space="preserve">± 2 </t>
    </r>
    <r>
      <rPr>
        <i/>
        <sz val="8"/>
        <rFont val="Arial"/>
        <family val="2"/>
      </rPr>
      <t xml:space="preserve">kg et l'exactitude de la mesure par le physicien est de </t>
    </r>
    <r>
      <rPr>
        <sz val="8"/>
        <rFont val="Calibri"/>
        <family val="2"/>
      </rPr>
      <t>±</t>
    </r>
    <r>
      <rPr>
        <i/>
        <sz val="8"/>
        <rFont val="Arial"/>
        <family val="2"/>
      </rPr>
      <t xml:space="preserve"> 0,5 kg</t>
    </r>
  </si>
  <si>
    <t>coefficient de détermination</t>
  </si>
  <si>
    <t>mx+b</t>
  </si>
  <si>
    <t>m</t>
  </si>
  <si>
    <t>Le système ici prend les résultats pour le meilleur coefficient de détermination.</t>
  </si>
  <si>
    <t>résultats meilleure régression</t>
  </si>
  <si>
    <t>Rh/Ag</t>
  </si>
  <si>
    <t xml:space="preserve">MIRE TG18-UN10 et TG18-UN80 </t>
  </si>
  <si>
    <t>Écart à GSDF</t>
  </si>
  <si>
    <t xml:space="preserve">Croquis à l'échelle de la salle et de son blindage </t>
  </si>
  <si>
    <t>Des dosimètres personnels sont disponibles. (recommandation seulement)</t>
  </si>
  <si>
    <t>x</t>
  </si>
  <si>
    <t>n.b. la dosimétrie personnelle est recommandée mais pas obligatoire en vertu du code de sécurité 36.</t>
  </si>
  <si>
    <t>n.b. l'absence de support de l'acteur IHE peut être relevé mais n'invalide pas la conformité générale</t>
  </si>
  <si>
    <t>Essential
DS</t>
  </si>
  <si>
    <t>Senoclaire</t>
  </si>
  <si>
    <t>SenoClaire Tomosynthesis</t>
  </si>
  <si>
    <t>Selenia Dimensions</t>
  </si>
  <si>
    <t>Mammomat Inspiration</t>
  </si>
  <si>
    <t>Mammomat Revelation</t>
  </si>
  <si>
    <t>VC10</t>
  </si>
  <si>
    <t>54.11, 54.20, 55.10, 55.20</t>
  </si>
  <si>
    <t xml:space="preserve">ADS </t>
  </si>
  <si>
    <t xml:space="preserve"> 56.10, 56.11, 56.12, 56.20</t>
  </si>
  <si>
    <t>56.10, 56.11, 56.12, 56.20, 56.21</t>
  </si>
  <si>
    <t>NGA 
NGB</t>
  </si>
  <si>
    <t>1.0.x, 1.8, 1.9, 2.0</t>
  </si>
  <si>
    <t>3.3.x, 5.1</t>
  </si>
  <si>
    <t xml:space="preserve">AWS </t>
  </si>
  <si>
    <t>VB21, VB30, VB60</t>
  </si>
  <si>
    <t>Pristina3D</t>
  </si>
  <si>
    <t>SenoBright HD</t>
  </si>
  <si>
    <t>Pristina</t>
  </si>
  <si>
    <t xml:space="preserve">NGB
</t>
  </si>
  <si>
    <t xml:space="preserve">1.20
</t>
  </si>
  <si>
    <t xml:space="preserve"> 2.2.50,3.2.50, 3.4.50,3.4.60</t>
  </si>
  <si>
    <t>daN</t>
  </si>
  <si>
    <t>"=0,44484 daN</t>
  </si>
  <si>
    <t>Compte-tenu de la norme d'IEC en daN on fera un ajustement de</t>
  </si>
  <si>
    <t>1 kg  sur la norme qui tient compte également de l'exactitude</t>
  </si>
  <si>
    <t>requise de la mesure par le physicien.</t>
  </si>
  <si>
    <t xml:space="preserve">    ▪    La force de compression maximale doit permettre une compression supérieure à 15 kg sans dépasser 21 kg à la mesure</t>
  </si>
  <si>
    <t xml:space="preserve">    ▪    La force de compression maximale manuelle ne doit pas dépasser 31 kg à la mesure.</t>
  </si>
  <si>
    <t>Ne s'applique pas pour les</t>
  </si>
  <si>
    <t>plaques construites spécifiquement</t>
  </si>
  <si>
    <t>pour être flexibles</t>
  </si>
  <si>
    <r>
      <rPr>
        <sz val="9"/>
        <color theme="1"/>
        <rFont val="Calibri"/>
        <family val="2"/>
      </rPr>
      <t>~</t>
    </r>
    <r>
      <rPr>
        <sz val="9"/>
        <color theme="1"/>
        <rFont val="Arial"/>
        <family val="2"/>
      </rPr>
      <t>1/4 ref</t>
    </r>
  </si>
  <si>
    <t xml:space="preserve">    ▪    R2 supérieur à 0,990</t>
  </si>
  <si>
    <t>sur le format 24x30</t>
  </si>
  <si>
    <t>à l'onglet 2.7 unifo</t>
  </si>
  <si>
    <t>Fréquences cycles / mm</t>
  </si>
  <si>
    <t>En mode standard</t>
  </si>
  <si>
    <t>50 %</t>
  </si>
  <si>
    <t>Fuji Profect (HR-BD)</t>
  </si>
  <si>
    <t>GE Essential et Pristina</t>
  </si>
  <si>
    <t>Hologic Selenia et Dimension</t>
  </si>
  <si>
    <t>Sectra L30 et Microdose</t>
  </si>
  <si>
    <t>Pour le petit foyer la méthode qualitative est retenue</t>
  </si>
  <si>
    <t>Notez la valeur et commentez des changements significatifs qui seraient intervenus.</t>
  </si>
  <si>
    <t xml:space="preserve">    ▪    Jugement </t>
  </si>
  <si>
    <r>
      <t>fréquence coupure, mire à 45</t>
    </r>
    <r>
      <rPr>
        <vertAlign val="superscript"/>
        <sz val="9"/>
        <rFont val="Arial"/>
        <family val="2"/>
      </rPr>
      <t xml:space="preserve">0, </t>
    </r>
    <r>
      <rPr>
        <sz val="9"/>
        <rFont val="Arial"/>
        <family val="2"/>
      </rPr>
      <t>pl/mm</t>
    </r>
  </si>
  <si>
    <t>20-01-2020</t>
  </si>
  <si>
    <t>22-01-2020</t>
  </si>
  <si>
    <t>Écart (Act-P) %</t>
  </si>
  <si>
    <t>actuel (Act)</t>
  </si>
  <si>
    <t>précédent (P)</t>
  </si>
  <si>
    <t>Initiale (I)</t>
  </si>
  <si>
    <t>Écart (Act-I)</t>
  </si>
  <si>
    <t>Référence à technologie utilisée</t>
  </si>
  <si>
    <t>Test 8 : Fonction de transfert de modulation (FTM)</t>
  </si>
  <si>
    <t>Test 9: Débits minimaux en mGy/s</t>
  </si>
  <si>
    <t>temps (s)</t>
  </si>
  <si>
    <t>mGy</t>
  </si>
  <si>
    <t>minimum requis</t>
  </si>
  <si>
    <t>écart</t>
  </si>
  <si>
    <t>mGy/sec</t>
  </si>
  <si>
    <t xml:space="preserve">La liste des logiciels qui supportent l'acteur IHE est reproduite dans la section de droite sous forme de tableau. </t>
  </si>
  <si>
    <t xml:space="preserve">Le non support de l'acteur IHE n'invalide pas la conformité générale.  </t>
  </si>
  <si>
    <t>L'absence de dosimétrie personnelle n'invalide pas la conformité générale pour être cohérent avec CS36.</t>
  </si>
  <si>
    <r>
      <t>Pour le petit foyer une méthode visuelle est appliquée. Fréquence de coupure sur une mire placée à 45</t>
    </r>
    <r>
      <rPr>
        <vertAlign val="superscript"/>
        <sz val="9"/>
        <color theme="1"/>
        <rFont val="Arial"/>
        <family val="2"/>
      </rPr>
      <t>o</t>
    </r>
  </si>
  <si>
    <t>En sus le test 9 considère le débit minimal d'un appareil en mGy/s pour différentes combinaisons Anode/filtre.</t>
  </si>
  <si>
    <t>Au besoin faire des mesures à &lt; 2p/mm</t>
  </si>
  <si>
    <t>À noter que dans le tableau précédent,  parallèle  correspond à</t>
  </si>
  <si>
    <t>l'orientation par rapport à la paroi thoracique, c'est-à-dire les lignes de la mire dans</t>
  </si>
  <si>
    <t>le sens de l'axe anode-cathode.</t>
  </si>
  <si>
    <t>Interpolez à partir du graphique. Le système calcule en d17</t>
  </si>
  <si>
    <t xml:space="preserve"> l'interpolation pour le meilleure coefficient de détermination</t>
  </si>
  <si>
    <t>pour la composante du débit minimal.</t>
  </si>
  <si>
    <t>Le nombre de non-conformités inclus celles de l'onglet précédent</t>
  </si>
  <si>
    <t>Évolution dans le temps</t>
  </si>
  <si>
    <t>manuel</t>
  </si>
  <si>
    <r>
      <t xml:space="preserve">Test 9 : Vérification de la tension (reproductibilité, exactitude, linéarité et débits) </t>
    </r>
    <r>
      <rPr>
        <b/>
        <i/>
        <sz val="9"/>
        <rFont val="Arial"/>
        <family val="2"/>
      </rPr>
      <t>(suite)</t>
    </r>
  </si>
  <si>
    <r>
      <t xml:space="preserve">Test 9 : Vérification de la tension (reproductibilité, exactitude, linéarité et débits) </t>
    </r>
    <r>
      <rPr>
        <b/>
        <i/>
        <sz val="9"/>
        <rFont val="Arial"/>
        <family val="2"/>
      </rPr>
      <t>(1ère partie)</t>
    </r>
  </si>
  <si>
    <t># mesure</t>
  </si>
  <si>
    <t xml:space="preserve">Les débits minimaux peuvent en partie être tirés du tableau précédent </t>
  </si>
  <si>
    <t xml:space="preserve"> ▪   Valeur minimum requise dans la colonne "minimum requis", à surface d'un sein de 45 mm.</t>
  </si>
  <si>
    <t>linéarité
PF</t>
  </si>
  <si>
    <t>débit max mGy/s</t>
  </si>
  <si>
    <r>
      <t>Exactitude de la tension</t>
    </r>
    <r>
      <rPr>
        <i/>
        <sz val="8"/>
        <rFont val="Arial"/>
        <family val="2"/>
      </rPr>
      <t xml:space="preserve"> </t>
    </r>
  </si>
  <si>
    <t>Exactitude (%)</t>
  </si>
  <si>
    <t>ayant une valeur en mGy et  mGy/mAs mais a une distance qui peut différer</t>
  </si>
  <si>
    <t>et s'assurer qu'on indique les même paramètres,  kV, mA, s mode….</t>
  </si>
  <si>
    <t>Faire pour les combinaisons anode/filtre disponible</t>
  </si>
  <si>
    <t>et laisser les autres cases vides.</t>
  </si>
  <si>
    <t xml:space="preserve">s'il n'y a pas de valeur dans la colonne mGy </t>
  </si>
  <si>
    <t>effacer le contenu  OK</t>
  </si>
  <si>
    <t>ne pas mettre un espace sinon apparaîtra   #VALEUR</t>
  </si>
  <si>
    <t>Ne pas effacer le contenu de Anode/filtre mais choisir la dernière</t>
  </si>
  <si>
    <t>option de la liste déroulante qui est une case vide.</t>
  </si>
  <si>
    <t>DGM pour CR
(mGy)</t>
  </si>
  <si>
    <t>DGM pour DR
(mGy)</t>
  </si>
  <si>
    <t>Exposition (mR) sans filtre ajouté  (avant)</t>
  </si>
  <si>
    <t>Exposition sans filtre (mR) ajouté (après)</t>
  </si>
  <si>
    <t>Exposition moyenne sans filtre (mR) ajouté</t>
  </si>
  <si>
    <t xml:space="preserve"> La valeur de "s" pour W/Al doit être appliquée manuellement à partir du tableau ci-bas.</t>
  </si>
  <si>
    <t>20 cm pour W/Al</t>
  </si>
  <si>
    <t>45 cm pour W/Al</t>
  </si>
  <si>
    <t>70cm pour W/Al</t>
  </si>
  <si>
    <t>pour les colonnes E et F s'il y a lieu. Il faut alors déterminer à quelle épaisseur de sein on effectue le calcul</t>
  </si>
  <si>
    <r>
      <t>&lt;-- calculé selonQ18 et Q19</t>
    </r>
    <r>
      <rPr>
        <sz val="11"/>
        <color rgb="FFFF0000"/>
        <rFont val="Calibri"/>
        <family val="2"/>
        <scheme val="minor"/>
      </rPr>
      <t xml:space="preserve"> ou inscrit directement.</t>
    </r>
  </si>
  <si>
    <r>
      <t xml:space="preserve">    ▪    Du côté thoracique, le champ de radiation doit couvrir entièrement le récepteur et peut excéder le support d’au plus 2</t>
    </r>
    <r>
      <rPr>
        <b/>
        <i/>
        <sz val="8"/>
        <rFont val="Arial"/>
        <family val="2"/>
      </rPr>
      <t> mm</t>
    </r>
    <r>
      <rPr>
        <i/>
        <sz val="8"/>
        <rFont val="Arial"/>
        <family val="2"/>
      </rPr>
      <t>.</t>
    </r>
  </si>
  <si>
    <t>compression = 10 kg</t>
  </si>
  <si>
    <r>
      <t>L</t>
    </r>
    <r>
      <rPr>
        <vertAlign val="subscript"/>
        <sz val="9"/>
        <rFont val="Arial"/>
        <family val="2"/>
      </rPr>
      <t>max</t>
    </r>
  </si>
  <si>
    <r>
      <t>L</t>
    </r>
    <r>
      <rPr>
        <vertAlign val="subscript"/>
        <sz val="9"/>
        <rFont val="Arial"/>
        <family val="2"/>
      </rPr>
      <t>min</t>
    </r>
  </si>
  <si>
    <r>
      <t xml:space="preserve">     ▪    L</t>
    </r>
    <r>
      <rPr>
        <i/>
        <vertAlign val="subscript"/>
        <sz val="8"/>
        <rFont val="Arial"/>
        <family val="2"/>
      </rPr>
      <t>min</t>
    </r>
    <r>
      <rPr>
        <i/>
        <sz val="8"/>
        <rFont val="Arial"/>
        <family val="2"/>
      </rPr>
      <t xml:space="preserve"> </t>
    </r>
    <r>
      <rPr>
        <sz val="8"/>
        <rFont val="Calibri"/>
        <family val="2"/>
      </rPr>
      <t>≥</t>
    </r>
    <r>
      <rPr>
        <i/>
        <sz val="8"/>
        <rFont val="Arial"/>
        <family val="2"/>
      </rPr>
      <t xml:space="preserve"> 1 cd/m</t>
    </r>
    <r>
      <rPr>
        <i/>
        <vertAlign val="superscript"/>
        <sz val="8"/>
        <rFont val="Arial"/>
        <family val="2"/>
      </rPr>
      <t>2.</t>
    </r>
  </si>
  <si>
    <r>
      <t xml:space="preserve">     ▪    L</t>
    </r>
    <r>
      <rPr>
        <i/>
        <vertAlign val="subscript"/>
        <sz val="8"/>
        <rFont val="Arial"/>
        <family val="2"/>
      </rPr>
      <t>max</t>
    </r>
    <r>
      <rPr>
        <i/>
        <sz val="8"/>
        <rFont val="Arial"/>
        <family val="2"/>
      </rPr>
      <t xml:space="preserve"> </t>
    </r>
    <r>
      <rPr>
        <sz val="8"/>
        <rFont val="Calibri"/>
        <family val="2"/>
      </rPr>
      <t xml:space="preserve">≥ </t>
    </r>
    <r>
      <rPr>
        <i/>
        <sz val="8"/>
        <rFont val="Arial"/>
        <family val="2"/>
      </rPr>
      <t>420 cd/m</t>
    </r>
    <r>
      <rPr>
        <i/>
        <vertAlign val="superscript"/>
        <sz val="8"/>
        <rFont val="Arial"/>
        <family val="2"/>
      </rPr>
      <t>2</t>
    </r>
    <r>
      <rPr>
        <i/>
        <sz val="8"/>
        <rFont val="Arial"/>
        <family val="2"/>
      </rPr>
      <t xml:space="preserve"> (prim) et  ≥ 250 cd/m</t>
    </r>
    <r>
      <rPr>
        <i/>
        <vertAlign val="superscript"/>
        <sz val="8"/>
        <rFont val="Arial"/>
        <family val="2"/>
      </rPr>
      <t>2</t>
    </r>
    <r>
      <rPr>
        <i/>
        <sz val="8"/>
        <rFont val="Arial"/>
        <family val="2"/>
      </rPr>
      <t xml:space="preserve"> (sec).</t>
    </r>
  </si>
  <si>
    <r>
      <t>L’évaluation du blindage de la salle est faite selon la méthode décrite dans le rapport n</t>
    </r>
    <r>
      <rPr>
        <i/>
        <vertAlign val="superscript"/>
        <sz val="8"/>
        <color indexed="8"/>
        <rFont val="Arial"/>
        <family val="2"/>
      </rPr>
      <t>o</t>
    </r>
    <r>
      <rPr>
        <i/>
        <sz val="8"/>
        <color indexed="8"/>
        <rFont val="Arial"/>
        <family val="2"/>
      </rPr>
      <t>147 du National Council on  Radiation Protection and Measurements.</t>
    </r>
  </si>
  <si>
    <t>Analyse du SDNR à diverses épaisseurs</t>
  </si>
  <si>
    <t>Analyse du SDNR à divers modes</t>
  </si>
  <si>
    <t>modes</t>
  </si>
  <si>
    <t>45 mm et 8 mm</t>
  </si>
  <si>
    <t xml:space="preserve">    ▪   (CR)  1 mGy à 20cm PMMA, 2,5 mGy à 45 et 6,5 mGy à 70.</t>
  </si>
  <si>
    <t xml:space="preserve">    ▪    (DR) 1 mGy à 20cm PMMA, 2,0 mGy à 45 et 5,1 mGy à 70.</t>
  </si>
  <si>
    <t>fonction lin.</t>
  </si>
  <si>
    <t>FTM %</t>
  </si>
  <si>
    <t>puissance</t>
  </si>
  <si>
    <t>linéaire</t>
  </si>
  <si>
    <t>auto</t>
  </si>
  <si>
    <t>Il faut déterminer si le détecteur est de type linéaire ou logarithmique, puis choisir le bon onglet.
Généralement les DR sont de type linéaire.</t>
  </si>
  <si>
    <t xml:space="preserve">    ▪    Selon la technologie utilisée  (tableau 6 du Guide) </t>
  </si>
  <si>
    <t>Ajouter aux commentaires</t>
  </si>
  <si>
    <t>au besoin</t>
  </si>
  <si>
    <t xml:space="preserve">        à 10 mm,  pour une compression de 10 kg sur un fantôme de 45 mm d'épaisseur .</t>
  </si>
  <si>
    <t>2.8 FTM-2.9 Stab</t>
  </si>
  <si>
    <t>Les taux d'exposition en mGy/sec sont mesurés et comparés à la norme IEC.</t>
  </si>
  <si>
    <t>changer le logo du Ministère par celui</t>
  </si>
  <si>
    <t>de la firme du physicien évaluateur.</t>
  </si>
  <si>
    <t xml:space="preserve">ne fait pas un bon passage par les points, la fonction de régression linéaire pourrait être meilleure. </t>
  </si>
  <si>
    <t>si 2 entrées seulement en début de tableau</t>
  </si>
  <si>
    <t>forcément linéaire, alors</t>
  </si>
  <si>
    <t xml:space="preserve">Le calcul ci-bas est lorsqu'il y a 4 valeurs dans le tableau. Lorsque la fonction de puissance </t>
  </si>
  <si>
    <t>Écart (%) ou (kg)</t>
  </si>
  <si>
    <t>1.2.0.x,  1.2.4.x , 1.3.1.x,  2.3.x.x</t>
  </si>
  <si>
    <t xml:space="preserve">voir la liste suivante pour IHE </t>
  </si>
  <si>
    <t>ne s'applique pas si c'est un DR</t>
  </si>
  <si>
    <t>si 3 entrées seulement en début de tableau (mettre la case vide de la liste déroulante en A14)</t>
  </si>
  <si>
    <t xml:space="preserve"> n.b. Les mesures à diverses pl/mm sont selon le système: A11 à a14 à ajuster selon la mesure désirée.</t>
  </si>
  <si>
    <t>Congruence entre le champ de rayonnement et le faisceau lumineux en mode agrandissement</t>
  </si>
  <si>
    <t>Distance source-plateau</t>
  </si>
  <si>
    <t>Facteur Agrandissement</t>
  </si>
  <si>
    <t xml:space="preserve"> plaques de compression testées</t>
  </si>
  <si>
    <t>combinaison anode/filtre utilisée</t>
  </si>
  <si>
    <t>Toutes les plaques de compression utilisées en mode agrandissement sont conformes ainsi que la couverture des champs RX</t>
  </si>
  <si>
    <t>A noter que les équations en analyse de conformité prévoient déjà l'utilisation des daN</t>
  </si>
  <si>
    <t>Un tableau fait avec 3 épaisseurs.</t>
  </si>
  <si>
    <t>Un autre tableau à épaisseur constante et  tests du système avec plusieurs réglages les plus utilisés.</t>
  </si>
  <si>
    <t xml:space="preserve">Technologie: </t>
  </si>
  <si>
    <t>Test 7 : Homogénéité du détecteur</t>
  </si>
  <si>
    <r>
      <rPr>
        <i/>
        <sz val="9"/>
        <rFont val="Arial"/>
        <family val="2"/>
      </rPr>
      <t xml:space="preserve">Prendre les mesures sur une image </t>
    </r>
    <r>
      <rPr>
        <b/>
        <i/>
        <sz val="9"/>
        <rFont val="Arial"/>
        <family val="2"/>
      </rPr>
      <t xml:space="preserve">non traitée </t>
    </r>
    <r>
      <rPr>
        <i/>
        <sz val="9"/>
        <rFont val="Arial"/>
        <family val="2"/>
      </rPr>
      <t xml:space="preserve">dans un système DR. </t>
    </r>
  </si>
  <si>
    <t>Pour faire plus d'une combinaison Anode/filtre, copier la section A3- H68</t>
  </si>
  <si>
    <t xml:space="preserve">bloquer cette date plutôt que de l'importer, et comparer </t>
  </si>
  <si>
    <r>
      <t xml:space="preserve">Si le système est un DR , on pourra ôter la protection et redéfinir la zone d'impression pour ne pas entraîner 4 pages additionnelles non serviables.
Mais mieux encore, utilisé l'onglet spécifique </t>
    </r>
    <r>
      <rPr>
        <i/>
        <sz val="9"/>
        <color theme="4" tint="-0.249977111117893"/>
        <rFont val="Arial"/>
        <family val="2"/>
      </rPr>
      <t>2.7 Homog DR</t>
    </r>
  </si>
  <si>
    <r>
      <t xml:space="preserve">Cet onglet est spécifique à l'homogénéité pour une technologie DR. Cela évite de redéfinir une zone d'impression qui élimine la nomemclature des cassettes.
L'utilisation de cet onglet pour un DR évite de compléter l'onglet </t>
    </r>
    <r>
      <rPr>
        <i/>
        <sz val="9"/>
        <color theme="4" tint="-0.249977111117893"/>
        <rFont val="Arial"/>
        <family val="2"/>
      </rPr>
      <t>2.7 Homog</t>
    </r>
  </si>
  <si>
    <t>Le calcul automatisé est basé sur une fonction de puissance et une fonction linéaire avec résultat tiré du meilleur coefficient de détermination
Si on ne fait que deux ou trois entrées,  utiliser les 2 ou 3 premières cases et garder les autres vides. La liste permet de sélectionner une entrée vide en bas de liste</t>
  </si>
  <si>
    <t>2.13 Align</t>
  </si>
  <si>
    <t>Un seul onglet est proposé pour la congruence, l'alignement du faisceau et la largeur de tissus perdus.</t>
  </si>
  <si>
    <t>Le mode agrandissement ne requiert pas de fournir les valeurs mesurée mais de statuer sur la conformité générale des diverses combinaisons possibles.</t>
  </si>
  <si>
    <r>
      <t xml:space="preserve">Les feuilles sont préparées pour une possibilité de 3 paires de moniteurs mais on peut retirer des feuilles ou en ajouter par paire.
S'il y a ajout, le résumé de l'onglet </t>
    </r>
    <r>
      <rPr>
        <i/>
        <sz val="9"/>
        <color theme="4" tint="-0.249977111117893"/>
        <rFont val="Arial"/>
        <family val="2"/>
      </rPr>
      <t>Info</t>
    </r>
    <r>
      <rPr>
        <sz val="9"/>
        <rFont val="Arial"/>
        <family val="2"/>
      </rPr>
      <t xml:space="preserve">  ne considérera pas automatiquement les anomalies dans les ajouts.</t>
    </r>
  </si>
  <si>
    <t>Pour la courbe GSDF, le pourcentage d'écart est calculé par rapport à la courbe de référence DICOM</t>
  </si>
  <si>
    <t>D'autres pages vierges peuvent être ajoutées facilement en copiant celle-ci.</t>
  </si>
  <si>
    <t>Ajouts par rapport aux versions antérieures</t>
  </si>
  <si>
    <t>Les ajouts et modifications et corrections sont nombreuses par rapport aux versions antérieures.</t>
  </si>
  <si>
    <t>On repartira de cette version-ci pour compiler les commentaires et les corrections requises lesquelles feront l'objet de communications régulières.</t>
  </si>
  <si>
    <r>
      <t xml:space="preserve">     ▪   Éclairage ambiant établi à 0,2 cd/m</t>
    </r>
    <r>
      <rPr>
        <i/>
        <vertAlign val="superscript"/>
        <sz val="8"/>
        <rFont val="Arial"/>
        <family val="2"/>
      </rPr>
      <t>2</t>
    </r>
  </si>
  <si>
    <r>
      <t xml:space="preserve">DGM-45 (mGy) </t>
    </r>
    <r>
      <rPr>
        <i/>
        <sz val="9"/>
        <color theme="1"/>
        <rFont val="Arial"/>
        <family val="2"/>
      </rPr>
      <t>(Pour PAM si requis)</t>
    </r>
  </si>
  <si>
    <t xml:space="preserve">    ▪    Le rapport signal sur bruit (RSB) d'une ROI ≤ 6%(DR) de la moyenne de son arceau.</t>
  </si>
  <si>
    <t xml:space="preserve">    ▪    Le rapport signal sur bruit (RSB) d'une ROI ≤ 15% (CR) de la moyenne de son arceau.</t>
  </si>
  <si>
    <t>CDA-dose(DGM)</t>
  </si>
  <si>
    <t>20-07-2019</t>
  </si>
  <si>
    <r>
      <t xml:space="preserve">L'onglet </t>
    </r>
    <r>
      <rPr>
        <b/>
        <i/>
        <sz val="11"/>
        <color rgb="FFFF0000"/>
        <rFont val="Calibri"/>
        <family val="2"/>
        <scheme val="minor"/>
      </rPr>
      <t>Modifs vs dernière version</t>
    </r>
    <r>
      <rPr>
        <b/>
        <sz val="11"/>
        <color rgb="FFFF0000"/>
        <rFont val="Calibri"/>
        <family val="2"/>
        <scheme val="minor"/>
      </rPr>
      <t xml:space="preserve"> liste les modifications apportées aux formulaires par rapport à la dernière version publiée en 2021</t>
    </r>
  </si>
  <si>
    <t>2.7 Homog-CR</t>
  </si>
  <si>
    <t>2.7 Homog-DR</t>
  </si>
  <si>
    <t>Tube radiogène (Fabricant/modèle)</t>
  </si>
  <si>
    <r>
      <t xml:space="preserve">    ▪    R</t>
    </r>
    <r>
      <rPr>
        <i/>
        <vertAlign val="superscript"/>
        <sz val="8"/>
        <color theme="1"/>
        <rFont val="Arial"/>
        <family val="2"/>
      </rPr>
      <t xml:space="preserve">2 </t>
    </r>
    <r>
      <rPr>
        <i/>
        <sz val="8"/>
        <color theme="1"/>
        <rFont val="Arial"/>
        <family val="2"/>
      </rPr>
      <t>supérieur à 0,99.</t>
    </r>
  </si>
  <si>
    <t>Distance source mesure (cm)</t>
  </si>
  <si>
    <t xml:space="preserve"> 45mm du plateau? (O/N)</t>
  </si>
  <si>
    <r>
      <t>LR': (L'</t>
    </r>
    <r>
      <rPr>
        <vertAlign val="subscript"/>
        <sz val="9"/>
        <rFont val="Arial"/>
        <family val="2"/>
      </rPr>
      <t>max</t>
    </r>
    <r>
      <rPr>
        <sz val="9"/>
        <rFont val="Arial"/>
        <family val="2"/>
      </rPr>
      <t>/L'</t>
    </r>
    <r>
      <rPr>
        <vertAlign val="subscript"/>
        <sz val="9"/>
        <rFont val="Arial"/>
        <family val="2"/>
      </rPr>
      <t>min</t>
    </r>
    <r>
      <rPr>
        <sz val="9"/>
        <rFont val="Arial"/>
        <family val="2"/>
      </rPr>
      <t>)</t>
    </r>
  </si>
  <si>
    <r>
      <t xml:space="preserve">     ▪  350 </t>
    </r>
    <r>
      <rPr>
        <i/>
        <sz val="8"/>
        <rFont val="Calibri"/>
        <family val="2"/>
      </rPr>
      <t>≤</t>
    </r>
    <r>
      <rPr>
        <i/>
        <sz val="8"/>
        <rFont val="Arial"/>
        <family val="2"/>
      </rPr>
      <t xml:space="preserve"> LR' </t>
    </r>
    <r>
      <rPr>
        <i/>
        <sz val="8"/>
        <rFont val="Calibri"/>
        <family val="2"/>
      </rPr>
      <t>≤</t>
    </r>
    <r>
      <rPr>
        <i/>
        <sz val="8"/>
        <rFont val="Arial"/>
        <family val="2"/>
      </rPr>
      <t xml:space="preserve"> 450 (primaire) ;  </t>
    </r>
  </si>
  <si>
    <t xml:space="preserve">     ▪    LR' ≥ 250 (secondaire).</t>
  </si>
  <si>
    <t>Le bas de page de la première page contient une mention de la version des formulaires sous la forme   GuideFormulaire_V2.0.0-date</t>
  </si>
  <si>
    <t>Les onglets orangers signifient qu'à l'impression il y a un choix à faire de l'inclure ou pas.</t>
  </si>
  <si>
    <t>Technologie:</t>
  </si>
  <si>
    <t xml:space="preserve">Technologie  : </t>
  </si>
  <si>
    <t xml:space="preserve">liste déroulante </t>
  </si>
  <si>
    <t>Feuille-add</t>
  </si>
  <si>
    <t>Le mot de passe n'est pas fonctionnel. OK après correction. Il faut prendre la nouvelle version 2.0.1 23mars2021</t>
  </si>
  <si>
    <t>correction</t>
  </si>
  <si>
    <t>info</t>
  </si>
  <si>
    <t>D46.  réajusté la référence à l'onglet Artefacts</t>
  </si>
  <si>
    <t>retrait</t>
  </si>
  <si>
    <t>D7 et D8,  D16 et D17  enlevés: laisser cases vides</t>
  </si>
  <si>
    <t>selon mode</t>
  </si>
  <si>
    <t>E8 et E17  mettre une cellule de choix avec liste déroulante :  oui, non, ou selon mode.</t>
  </si>
  <si>
    <t>liste déroulante pour c13, c27, c47 et c56,  etc</t>
  </si>
  <si>
    <t>dans les cas où il y a l'utilisation fréquente d'une 2è combinaison</t>
  </si>
  <si>
    <t>Homo DR</t>
  </si>
  <si>
    <t>B5 et C5  choix avec liste déroulante.  A droite en rouge instruction de possibilités de faire 2 foix 24x30 avev anode/filtre différent.</t>
  </si>
  <si>
    <t>ajustement</t>
  </si>
  <si>
    <t xml:space="preserve">ajustement </t>
  </si>
  <si>
    <t xml:space="preserve"> ▪    moins de 10% d'écart par rapport à la valeur précédente et antérieure pour FTM à 50% sur le grand foyer.</t>
  </si>
  <si>
    <t>2,8-FTM</t>
  </si>
  <si>
    <t>Ajouter à la ligne 32 une précision que la norme est pour le Grand foyer.</t>
  </si>
  <si>
    <t>v 2.0.0</t>
  </si>
  <si>
    <t>tableaiu 6 du Guide.</t>
  </si>
  <si>
    <t xml:space="preserve">F31,G31 cases grisées. Enlever calcul. H31 et I31 laisser en blanc pour une conformité établie par le physicien. </t>
  </si>
  <si>
    <t>si l'appareil est utilisé à des kV supérieurs et/ou avec une autre combinaison</t>
  </si>
  <si>
    <t>anode/filtre, une observation sur quelques kV est pertinente.</t>
  </si>
  <si>
    <t>Autres combinaisons ou tension</t>
  </si>
  <si>
    <t>modification</t>
  </si>
  <si>
    <t>mot de passe</t>
  </si>
  <si>
    <t>2,5-2.6 artefacts</t>
  </si>
  <si>
    <t>2.9 tension</t>
  </si>
  <si>
    <t>C21-C22 changer pour exactitude%</t>
  </si>
  <si>
    <t>Colonne C ajustée avec mise en forme conditionnelle pour colorer si &gt;5%</t>
  </si>
  <si>
    <t>décalage vers le bas des autres tableaux.</t>
  </si>
  <si>
    <t>v2.0.2</t>
  </si>
  <si>
    <t>v2.0.1  modifiée ainsi:</t>
  </si>
  <si>
    <t>Pour laisser une case vide, faire "effacer contenu" sinon des calculs suivants conduisent à l'affichage  "#valeur.", à éviter.</t>
  </si>
  <si>
    <t>ajout</t>
  </si>
  <si>
    <t xml:space="preserve">instructions d'utilisation </t>
  </si>
  <si>
    <t xml:space="preserve">ligne 25. </t>
  </si>
  <si>
    <t xml:space="preserve">Opération sur Version </t>
  </si>
  <si>
    <t xml:space="preserve">    ▪    Exactitude de la tension à mieux que 5%.</t>
  </si>
  <si>
    <t xml:space="preserve">anode/filtre, on pourra compléter les 2 tableaux en 24x30. </t>
  </si>
  <si>
    <t>en utilisant les paramètres décrits  dans la section B5:C11</t>
  </si>
  <si>
    <t>enlever la ligne 40 pour des calculs de moyenne qui ne servent pas</t>
  </si>
  <si>
    <t>C13 d13 c27 d27  reproduisent les données des deux colonnes de paramètres  B5 à C11</t>
  </si>
  <si>
    <t xml:space="preserve">B51 est une date antérieure qui est importée de </t>
  </si>
  <si>
    <r>
      <t xml:space="preserve">Ou </t>
    </r>
    <r>
      <rPr>
        <sz val="10"/>
        <color rgb="FFFF0000"/>
        <rFont val="Times New Roman"/>
        <family val="1"/>
      </rPr>
      <t>faire un tableau en 18x24 et l'autre en 24x30 avec la même combinaison</t>
    </r>
  </si>
  <si>
    <t>Modifier une liaison non valable à une version antérieure</t>
  </si>
  <si>
    <t>Introduction d'un tableau de A28 à G34  pour une autre combinaison d'anode ou des tensions supérieures.</t>
  </si>
  <si>
    <t>y=ax+b</t>
  </si>
  <si>
    <t>x1</t>
  </si>
  <si>
    <t>arrondir la cda au 0.05 supérieur</t>
  </si>
  <si>
    <t>x2</t>
  </si>
  <si>
    <t>cda adjacente</t>
  </si>
  <si>
    <t>trouver les paramètres c et g pour chaque point</t>
  </si>
  <si>
    <t>g1</t>
  </si>
  <si>
    <t>g2</t>
  </si>
  <si>
    <t>c1</t>
  </si>
  <si>
    <t>c2</t>
  </si>
  <si>
    <t>faire les interpolations linéaires</t>
  </si>
  <si>
    <t>pente g</t>
  </si>
  <si>
    <t>ordonnee g</t>
  </si>
  <si>
    <t>pente c</t>
  </si>
  <si>
    <t>ordonnee c</t>
  </si>
  <si>
    <t>Interpolation linéaire entre les 2 points adjacents  pour g et c</t>
  </si>
  <si>
    <t>retrour des valeurs dans les calculs de b48 à d59</t>
  </si>
  <si>
    <t>2.10-11-12 DGM</t>
  </si>
  <si>
    <t>Le calcul d'interpolation a été simplifié et corrigé</t>
  </si>
  <si>
    <t>L'espace J107 à S128 remplace les calculs antérieurs d'interpolation</t>
  </si>
  <si>
    <t>et ainsi les cellules B49-B50  puis  C53-C54  et D57-58  vont y chercher leurs valeurs.</t>
  </si>
  <si>
    <t>Ce faisant les références pour E49 à F59 ne tiennent plus et sont laissées libres pour des calculs particuliers.</t>
  </si>
  <si>
    <t>v2.0.3</t>
  </si>
  <si>
    <t>Comparaison applicable</t>
  </si>
  <si>
    <t>changement de tube RX</t>
  </si>
  <si>
    <t>changement de détecteur</t>
  </si>
  <si>
    <t>changement de bucky</t>
  </si>
  <si>
    <t>Comparaison non applicable</t>
  </si>
  <si>
    <t>Laisser F44 vide ou Comparaison applicable avec F45 vide. Sinon compléter aussi f45</t>
  </si>
  <si>
    <t>Laisser F39 vide ou Comparaison applicable, avec f40 vide aussi. Sinon compléter aussi f40</t>
  </si>
  <si>
    <t>F44 contient une liste déroulante  pour signifier qu'il y a ou pas applicabilité de la comparaison</t>
  </si>
  <si>
    <t>F45 contient une liste déroulante pour indiquer la raison de ne pas appliquer la comparaison.</t>
  </si>
  <si>
    <t>2.4 Détecteur(log)</t>
  </si>
  <si>
    <t>2.4 Détecteur(lin)</t>
  </si>
  <si>
    <t>F39 contient une liste déroulante  pour signifier qu'il y a ou pas applicabilité de la comparaison</t>
  </si>
  <si>
    <t>F40 contient une liste déroulante pour indiquer la raison de ne pas appliquer la comparaison.</t>
  </si>
  <si>
    <t>Si la comparaison avec des données antérieures ne s'applique pas, un espace est prévu pour le signifier et en donner la cause.</t>
  </si>
  <si>
    <t>note pour mentionner l'ajout d'une case pour indiquer si la comparaiton est innapplicable.</t>
  </si>
  <si>
    <t>changement de version du logiciel</t>
  </si>
  <si>
    <t>2017 Heggie et al ACPSEM Position Paper: Digital Mammography V4.0</t>
  </si>
  <si>
    <t>L4 changé pour 0,23   et M4 la référence qui le justifie.</t>
  </si>
  <si>
    <t>Tissus perdu &lt; 5 mm à la norme. Donc correction pour D31 E31 G31 et H31 qui étaient à 2 mm.</t>
  </si>
  <si>
    <t>Et ainsi  C31 et F31 sont retouchés pour la mise en forme conditionnelle.</t>
  </si>
  <si>
    <t>V2.0.4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</si>
</sst>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_ ;_ * \(#,##0.00\)\ _$_ ;_ * &quot;-&quot;??_)\ _$_ ;_ @_ "/>
    <numFmt numFmtId="165" formatCode="0.0"/>
    <numFmt numFmtId="166" formatCode="_ * #,##0.0_)\ _$_ ;_ * \(#,##0.0\)\ _$_ ;_ * &quot;-&quot;??_)\ _$_ ;_ @_ "/>
    <numFmt numFmtId="167" formatCode="0.000"/>
    <numFmt numFmtId="168" formatCode="0.0000"/>
    <numFmt numFmtId="169" formatCode="0.0%"/>
    <numFmt numFmtId="170" formatCode="_ * #,##0_)\ _$_ ;_ * \(#,##0\)\ _$_ ;_ * &quot;-&quot;??_)\ _$_ ;_ @_ "/>
    <numFmt numFmtId="171" formatCode="_ * #,##0.000_)\ _$_ ;_ * \(#,##0.000\)\ _$_ ;_ * &quot;-&quot;??_)\ _$_ ;_ @_ "/>
    <numFmt numFmtId="172" formatCode="0.000000000"/>
    <numFmt numFmtId="173" formatCode="0.0000000"/>
    <numFmt numFmtId="174" formatCode="0.000000"/>
  </numFmts>
  <fonts count="9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9"/>
      <color theme="1"/>
      <name val="Arial"/>
      <family val="2"/>
    </font>
    <font>
      <sz val="9"/>
      <color theme="1"/>
      <name val="Arial"/>
      <family val="2"/>
    </font>
    <font>
      <b/>
      <i/>
      <sz val="11"/>
      <color theme="1"/>
      <name val="Arial"/>
      <family val="2"/>
    </font>
    <font>
      <i/>
      <sz val="9"/>
      <color rgb="FFFF0000"/>
      <name val="Arial"/>
      <family val="2"/>
    </font>
    <font>
      <sz val="9"/>
      <name val="Arial"/>
      <family val="2"/>
    </font>
    <font>
      <sz val="10"/>
      <name val="Arial"/>
      <family val="2"/>
    </font>
    <font>
      <i/>
      <sz val="10"/>
      <color theme="1"/>
      <name val="Calibri"/>
      <family val="2"/>
      <scheme val="minor"/>
    </font>
    <font>
      <b/>
      <i/>
      <sz val="11"/>
      <name val="Arial"/>
      <family val="2"/>
    </font>
    <font>
      <b/>
      <sz val="9"/>
      <name val="Arial"/>
      <family val="2"/>
    </font>
    <font>
      <b/>
      <i/>
      <sz val="10"/>
      <name val="Arial"/>
      <family val="2"/>
    </font>
    <font>
      <b/>
      <sz val="10"/>
      <name val="Arial"/>
      <family val="2"/>
    </font>
    <font>
      <b/>
      <sz val="9"/>
      <color theme="1"/>
      <name val="Arial"/>
      <family val="2"/>
    </font>
    <font>
      <sz val="10"/>
      <name val="Times New Roman"/>
      <family val="1"/>
    </font>
    <font>
      <b/>
      <i/>
      <sz val="9"/>
      <name val="Arial"/>
      <family val="2"/>
    </font>
    <font>
      <b/>
      <sz val="14"/>
      <name val="Times New Roman"/>
      <family val="1"/>
    </font>
    <font>
      <b/>
      <sz val="8"/>
      <name val="Arial"/>
      <family val="2"/>
    </font>
    <font>
      <vertAlign val="subscript"/>
      <sz val="9"/>
      <name val="Arial"/>
      <family val="2"/>
    </font>
    <font>
      <sz val="8"/>
      <name val="Arial"/>
      <family val="2"/>
    </font>
    <font>
      <b/>
      <i/>
      <sz val="8"/>
      <name val="Arial"/>
      <family val="2"/>
    </font>
    <font>
      <i/>
      <sz val="8"/>
      <color theme="1"/>
      <name val="Calibri"/>
      <family val="2"/>
      <scheme val="minor"/>
    </font>
    <font>
      <i/>
      <sz val="8"/>
      <name val="Arial"/>
      <family val="2"/>
    </font>
    <font>
      <i/>
      <sz val="8"/>
      <name val="Calibri"/>
      <family val="2"/>
      <scheme val="minor"/>
    </font>
    <font>
      <i/>
      <sz val="9"/>
      <name val="Arial"/>
      <family val="2"/>
    </font>
    <font>
      <b/>
      <u/>
      <sz val="8"/>
      <name val="Arial"/>
      <family val="2"/>
    </font>
    <font>
      <b/>
      <u/>
      <sz val="9"/>
      <name val="Arial"/>
      <family val="2"/>
    </font>
    <font>
      <sz val="10"/>
      <color theme="1"/>
      <name val="Arial"/>
      <family val="2"/>
    </font>
    <font>
      <sz val="10"/>
      <color theme="1"/>
      <name val="Calibri"/>
      <family val="2"/>
      <scheme val="minor"/>
    </font>
    <font>
      <i/>
      <sz val="8"/>
      <color theme="1"/>
      <name val="Arial"/>
      <family val="2"/>
    </font>
    <font>
      <sz val="8"/>
      <color theme="1"/>
      <name val="Arial"/>
      <family val="2"/>
    </font>
    <font>
      <sz val="8"/>
      <color theme="1"/>
      <name val="Calibri"/>
      <family val="2"/>
      <scheme val="minor"/>
    </font>
    <font>
      <b/>
      <sz val="10"/>
      <color theme="1"/>
      <name val="Arial"/>
      <family val="2"/>
    </font>
    <font>
      <sz val="9"/>
      <color theme="1"/>
      <name val="Calibri"/>
      <family val="2"/>
    </font>
    <font>
      <vertAlign val="superscript"/>
      <sz val="9"/>
      <color theme="1"/>
      <name val="Arial"/>
      <family val="2"/>
    </font>
    <font>
      <u/>
      <sz val="9"/>
      <name val="Arial"/>
      <family val="2"/>
    </font>
    <font>
      <b/>
      <sz val="10"/>
      <name val="Times New Roman"/>
      <family val="1"/>
    </font>
    <font>
      <b/>
      <sz val="12"/>
      <name val="Times New Roman"/>
      <family val="1"/>
    </font>
    <font>
      <sz val="8"/>
      <name val="Times New Roman"/>
      <family val="1"/>
    </font>
    <font>
      <b/>
      <u/>
      <sz val="9"/>
      <color indexed="48"/>
      <name val="Arial"/>
      <family val="2"/>
    </font>
    <font>
      <sz val="9"/>
      <color rgb="FFFF0000"/>
      <name val="Arial"/>
      <family val="2"/>
    </font>
    <font>
      <i/>
      <sz val="14"/>
      <name val="Times New Roman"/>
      <family val="1"/>
    </font>
    <font>
      <b/>
      <i/>
      <sz val="9"/>
      <name val="Comic Sans MS"/>
      <family val="4"/>
    </font>
    <font>
      <sz val="11"/>
      <color rgb="FF000000"/>
      <name val="Calibri"/>
      <family val="2"/>
    </font>
    <font>
      <b/>
      <sz val="9"/>
      <color indexed="60"/>
      <name val="Arial"/>
      <family val="2"/>
    </font>
    <font>
      <sz val="11"/>
      <color rgb="FF222222"/>
      <name val="Arial"/>
      <family val="2"/>
    </font>
    <font>
      <i/>
      <sz val="8"/>
      <name val="Times New Roman"/>
      <family val="1"/>
    </font>
    <font>
      <sz val="12"/>
      <name val="Times New Roman"/>
      <family val="1"/>
    </font>
    <font>
      <vertAlign val="superscript"/>
      <sz val="9"/>
      <name val="Arial"/>
      <family val="2"/>
    </font>
    <font>
      <i/>
      <vertAlign val="superscript"/>
      <sz val="8"/>
      <name val="Arial"/>
      <family val="2"/>
    </font>
    <font>
      <i/>
      <vertAlign val="subscript"/>
      <sz val="8"/>
      <name val="Arial"/>
      <family val="2"/>
    </font>
    <font>
      <sz val="9"/>
      <color indexed="8"/>
      <name val="Arial"/>
      <family val="2"/>
    </font>
    <font>
      <sz val="9"/>
      <color indexed="10"/>
      <name val="Arial"/>
      <family val="2"/>
    </font>
    <font>
      <sz val="9"/>
      <color indexed="60"/>
      <name val="Arial"/>
      <family val="2"/>
    </font>
    <font>
      <sz val="11"/>
      <color theme="1"/>
      <name val="Arial"/>
      <family val="2"/>
    </font>
    <font>
      <b/>
      <i/>
      <sz val="10"/>
      <color theme="1"/>
      <name val="Arial"/>
      <family val="2"/>
    </font>
    <font>
      <vertAlign val="subscript"/>
      <sz val="8"/>
      <color theme="1"/>
      <name val="Arial"/>
      <family val="2"/>
    </font>
    <font>
      <sz val="9"/>
      <name val="Times New Roman"/>
      <family val="1"/>
    </font>
    <font>
      <sz val="14"/>
      <name val="Times New Roman"/>
      <family val="1"/>
    </font>
    <font>
      <u/>
      <sz val="8"/>
      <name val="Arial"/>
      <family val="2"/>
    </font>
    <font>
      <sz val="8"/>
      <name val="Calibri"/>
      <family val="2"/>
      <scheme val="minor"/>
    </font>
    <font>
      <sz val="10"/>
      <name val="Calibri"/>
      <family val="2"/>
    </font>
    <font>
      <sz val="8"/>
      <name val="Calibri"/>
      <family val="2"/>
    </font>
    <font>
      <i/>
      <sz val="8"/>
      <color indexed="8"/>
      <name val="Arial"/>
      <family val="2"/>
    </font>
    <font>
      <i/>
      <vertAlign val="superscript"/>
      <sz val="8"/>
      <color indexed="8"/>
      <name val="Arial"/>
      <family val="2"/>
    </font>
    <font>
      <vertAlign val="subscript"/>
      <sz val="9"/>
      <color theme="1"/>
      <name val="Arial"/>
      <family val="2"/>
    </font>
    <font>
      <vertAlign val="superscript"/>
      <sz val="11"/>
      <color theme="1"/>
      <name val="Calibri"/>
      <family val="2"/>
      <scheme val="minor"/>
    </font>
    <font>
      <sz val="11"/>
      <color theme="1"/>
      <name val="Calibri"/>
      <family val="2"/>
    </font>
    <font>
      <i/>
      <sz val="9"/>
      <color theme="4" tint="-0.249977111117893"/>
      <name val="Arial"/>
      <family val="2"/>
    </font>
    <font>
      <i/>
      <sz val="11"/>
      <color theme="4" tint="-0.249977111117893"/>
      <name val="Calibri"/>
      <family val="2"/>
      <scheme val="minor"/>
    </font>
    <font>
      <sz val="10"/>
      <color rgb="FFFF0000"/>
      <name val="Times New Roman"/>
      <family val="1"/>
    </font>
    <font>
      <sz val="11"/>
      <color rgb="FFFF0000"/>
      <name val="Calibri"/>
      <family val="2"/>
      <scheme val="minor"/>
    </font>
    <font>
      <b/>
      <sz val="11"/>
      <color rgb="FFFF0000"/>
      <name val="Calibri"/>
      <family val="2"/>
      <scheme val="minor"/>
    </font>
    <font>
      <b/>
      <i/>
      <sz val="11"/>
      <color rgb="FFFF0000"/>
      <name val="Calibri"/>
      <family val="2"/>
      <scheme val="minor"/>
    </font>
    <font>
      <sz val="11"/>
      <name val="Calibri"/>
      <family val="2"/>
      <scheme val="minor"/>
    </font>
    <font>
      <sz val="10"/>
      <name val="Calibri"/>
      <family val="2"/>
      <scheme val="minor"/>
    </font>
    <font>
      <sz val="11"/>
      <color rgb="FF000000"/>
      <name val="Calibri"/>
      <family val="2"/>
      <scheme val="minor"/>
    </font>
    <font>
      <b/>
      <sz val="11"/>
      <name val="Calibri"/>
      <family val="2"/>
      <scheme val="minor"/>
    </font>
    <font>
      <i/>
      <sz val="11"/>
      <name val="Calibri"/>
      <family val="2"/>
      <scheme val="minor"/>
    </font>
    <font>
      <i/>
      <sz val="8"/>
      <color rgb="FFFF0000"/>
      <name val="Calibri"/>
      <family val="2"/>
      <scheme val="minor"/>
    </font>
    <font>
      <sz val="9"/>
      <color theme="1"/>
      <name val="Calibri"/>
      <family val="2"/>
      <scheme val="minor"/>
    </font>
    <font>
      <sz val="9"/>
      <color rgb="FFFFFFFF"/>
      <name val="Arial"/>
      <family val="2"/>
    </font>
    <font>
      <sz val="9"/>
      <color rgb="FF000000"/>
      <name val="Arial"/>
      <family val="2"/>
    </font>
    <font>
      <sz val="9"/>
      <color theme="0" tint="-0.499984740745262"/>
      <name val="Arial"/>
      <family val="2"/>
    </font>
    <font>
      <sz val="8"/>
      <color theme="0" tint="-0.499984740745262"/>
      <name val="Arial"/>
      <family val="2"/>
    </font>
    <font>
      <i/>
      <sz val="11"/>
      <color rgb="FFFF0000"/>
      <name val="Calibri"/>
      <family val="2"/>
      <scheme val="minor"/>
    </font>
    <font>
      <i/>
      <sz val="8"/>
      <name val="Calibri"/>
      <family val="2"/>
    </font>
    <font>
      <sz val="10"/>
      <color rgb="FFFF0000"/>
      <name val="Arial"/>
      <family val="2"/>
    </font>
    <font>
      <sz val="11"/>
      <color theme="9" tint="-0.249977111117893"/>
      <name val="Calibri"/>
      <family val="2"/>
      <scheme val="minor"/>
    </font>
    <font>
      <b/>
      <sz val="9"/>
      <color rgb="FFFF0000"/>
      <name val="Arial"/>
      <family val="2"/>
    </font>
    <font>
      <i/>
      <vertAlign val="superscript"/>
      <sz val="8"/>
      <color theme="1"/>
      <name val="Arial"/>
      <family val="2"/>
    </font>
  </fonts>
  <fills count="4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indexed="26"/>
      </patternFill>
    </fill>
    <fill>
      <patternFill patternType="solid">
        <fgColor indexed="9"/>
        <bgColor indexed="26"/>
      </patternFill>
    </fill>
    <fill>
      <patternFill patternType="solid">
        <fgColor rgb="FFFFFF00"/>
        <bgColor indexed="26"/>
      </patternFill>
    </fill>
    <fill>
      <patternFill patternType="solid">
        <fgColor theme="0" tint="-0.14999847407452621"/>
        <bgColor indexed="26"/>
      </patternFill>
    </fill>
    <fill>
      <patternFill patternType="solid">
        <fgColor indexed="9"/>
        <bgColor indexed="64"/>
      </patternFill>
    </fill>
    <fill>
      <patternFill patternType="solid">
        <fgColor rgb="FFFFFF00"/>
        <bgColor indexed="64"/>
      </patternFill>
    </fill>
    <fill>
      <patternFill patternType="solid">
        <fgColor rgb="FFE5B8B7"/>
        <bgColor indexed="64"/>
      </patternFill>
    </fill>
    <fill>
      <patternFill patternType="solid">
        <fgColor rgb="FFF2DBDB"/>
        <bgColor indexed="64"/>
      </patternFill>
    </fill>
    <fill>
      <patternFill patternType="solid">
        <fgColor theme="0" tint="-4.9989318521683403E-2"/>
        <bgColor indexed="64"/>
      </patternFill>
    </fill>
    <fill>
      <patternFill patternType="solid">
        <fgColor theme="0"/>
        <bgColor indexed="4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tint="-0.14999847407452621"/>
        <bgColor indexed="44"/>
      </patternFill>
    </fill>
    <fill>
      <patternFill patternType="solid">
        <fgColor rgb="FFB3B3B3"/>
        <bgColor indexed="64"/>
      </patternFill>
    </fill>
    <fill>
      <patternFill patternType="solid">
        <fgColor theme="0" tint="-0.14999847407452621"/>
        <bgColor indexed="23"/>
      </patternFill>
    </fill>
    <fill>
      <patternFill patternType="solid">
        <fgColor rgb="FFFFFFEB"/>
        <bgColor indexed="26"/>
      </patternFill>
    </fill>
    <fill>
      <patternFill patternType="solid">
        <fgColor rgb="FFFFFFEB"/>
        <bgColor indexed="64"/>
      </patternFill>
    </fill>
    <fill>
      <patternFill patternType="solid">
        <fgColor rgb="FFDDFFFF"/>
        <bgColor indexed="26"/>
      </patternFill>
    </fill>
    <fill>
      <patternFill patternType="solid">
        <fgColor rgb="FFFFFFEB"/>
        <bgColor indexed="44"/>
      </patternFill>
    </fill>
    <fill>
      <patternFill patternType="solid">
        <fgColor rgb="FFEFFFFF"/>
        <bgColor indexed="64"/>
      </patternFill>
    </fill>
    <fill>
      <patternFill patternType="solid">
        <fgColor rgb="FFFFFFE6"/>
        <bgColor indexed="64"/>
      </patternFill>
    </fill>
    <fill>
      <patternFill patternType="solid">
        <fgColor theme="3" tint="0.59999389629810485"/>
        <bgColor indexed="26"/>
      </patternFill>
    </fill>
    <fill>
      <patternFill patternType="solid">
        <fgColor theme="3" tint="0.59999389629810485"/>
        <bgColor indexed="64"/>
      </patternFill>
    </fill>
    <fill>
      <patternFill patternType="solid">
        <fgColor rgb="FFDDFFFF"/>
        <bgColor indexed="64"/>
      </patternFill>
    </fill>
    <fill>
      <patternFill patternType="solid">
        <fgColor rgb="FFE5F5FF"/>
        <bgColor indexed="26"/>
      </patternFill>
    </fill>
    <fill>
      <patternFill patternType="solid">
        <fgColor rgb="FFE5F5FF"/>
        <bgColor indexed="64"/>
      </patternFill>
    </fill>
    <fill>
      <patternFill patternType="solid">
        <fgColor rgb="FFFFFF99"/>
        <bgColor indexed="26"/>
      </patternFill>
    </fill>
    <fill>
      <patternFill patternType="solid">
        <fgColor rgb="FFF6F7E9"/>
        <bgColor indexed="64"/>
      </patternFill>
    </fill>
    <fill>
      <patternFill patternType="solid">
        <fgColor rgb="FFF6F7E9"/>
        <bgColor indexed="26"/>
      </patternFill>
    </fill>
    <fill>
      <patternFill patternType="solid">
        <fgColor theme="7" tint="0.79998168889431442"/>
        <bgColor indexed="64"/>
      </patternFill>
    </fill>
    <fill>
      <patternFill patternType="solid">
        <fgColor rgb="FFB31E3A"/>
        <bgColor indexed="64"/>
      </patternFill>
    </fill>
    <fill>
      <patternFill patternType="solid">
        <fgColor rgb="FFFFE5EA"/>
        <bgColor indexed="64"/>
      </patternFill>
    </fill>
    <fill>
      <patternFill patternType="solid">
        <fgColor rgb="FFFFB2C1"/>
        <bgColor indexed="64"/>
      </patternFill>
    </fill>
    <fill>
      <patternFill patternType="solid">
        <fgColor theme="4" tint="0.79998168889431442"/>
        <bgColor indexed="64"/>
      </patternFill>
    </fill>
    <fill>
      <patternFill patternType="solid">
        <fgColor theme="4" tint="0.79998168889431442"/>
        <bgColor indexed="26"/>
      </patternFill>
    </fill>
    <fill>
      <patternFill patternType="solid">
        <fgColor theme="4" tint="0.79998168889431442"/>
        <bgColor indexed="44"/>
      </patternFill>
    </fill>
    <fill>
      <patternFill patternType="solid">
        <fgColor rgb="FFFDD0CF"/>
        <bgColor indexed="64"/>
      </patternFill>
    </fill>
    <fill>
      <patternFill patternType="solid">
        <fgColor theme="2" tint="-9.9978637043366805E-2"/>
        <bgColor indexed="26"/>
      </patternFill>
    </fill>
    <fill>
      <patternFill patternType="solid">
        <fgColor theme="5" tint="0.79998168889431442"/>
        <bgColor indexed="64"/>
      </patternFill>
    </fill>
  </fills>
  <borders count="259">
    <border>
      <left/>
      <right/>
      <top/>
      <bottom/>
      <diagonal/>
    </border>
    <border>
      <left style="thin">
        <color theme="0"/>
      </left>
      <right/>
      <top style="thin">
        <color theme="0"/>
      </top>
      <bottom/>
      <diagonal/>
    </border>
    <border>
      <left/>
      <right/>
      <top style="thin">
        <color theme="0"/>
      </top>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bottom style="thin">
        <color indexed="64"/>
      </bottom>
      <diagonal/>
    </border>
    <border>
      <left/>
      <right style="thin">
        <color theme="0"/>
      </right>
      <top/>
      <bottom style="thin">
        <color indexed="64"/>
      </bottom>
      <diagonal/>
    </border>
    <border>
      <left/>
      <right style="thin">
        <color theme="0"/>
      </right>
      <top/>
      <bottom/>
      <diagonal/>
    </border>
    <border>
      <left/>
      <right/>
      <top/>
      <bottom style="thin">
        <color indexed="8"/>
      </bottom>
      <diagonal/>
    </border>
    <border>
      <left/>
      <right style="thin">
        <color theme="0"/>
      </right>
      <top/>
      <bottom style="thin">
        <color indexed="8"/>
      </bottom>
      <diagonal/>
    </border>
    <border>
      <left/>
      <right/>
      <top style="thin">
        <color indexed="8"/>
      </top>
      <bottom style="thin">
        <color indexed="8"/>
      </bottom>
      <diagonal/>
    </border>
    <border>
      <left/>
      <right style="thin">
        <color theme="0"/>
      </right>
      <top style="thin">
        <color indexed="8"/>
      </top>
      <bottom style="thin">
        <color indexed="8"/>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64"/>
      </right>
      <top/>
      <bottom/>
      <diagonal/>
    </border>
    <border>
      <left style="medium">
        <color indexed="64"/>
      </left>
      <right style="thin">
        <color indexed="64"/>
      </right>
      <top/>
      <bottom style="thin">
        <color indexed="64"/>
      </bottom>
      <diagonal/>
    </border>
    <border>
      <left/>
      <right style="thin">
        <color indexed="8"/>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diagonal/>
    </border>
    <border>
      <left style="thin">
        <color auto="1"/>
      </left>
      <right style="thin">
        <color auto="1"/>
      </right>
      <top style="thin">
        <color indexed="64"/>
      </top>
      <bottom/>
      <diagonal/>
    </border>
    <border>
      <left style="thin">
        <color indexed="64"/>
      </left>
      <right style="thin">
        <color indexed="64"/>
      </right>
      <top style="thin">
        <color indexed="64"/>
      </top>
      <bottom/>
      <diagonal/>
    </border>
    <border>
      <left/>
      <right style="thin">
        <color auto="1"/>
      </right>
      <top style="thin">
        <color indexed="64"/>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style="thin">
        <color indexed="64"/>
      </left>
      <right style="thin">
        <color indexed="64"/>
      </right>
      <top/>
      <bottom style="thin">
        <color indexed="64"/>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auto="1"/>
      </left>
      <right style="thin">
        <color auto="1"/>
      </right>
      <top/>
      <bottom/>
      <diagonal/>
    </border>
    <border>
      <left style="thin">
        <color indexed="64"/>
      </left>
      <right style="thin">
        <color indexed="8"/>
      </right>
      <top/>
      <bottom style="thin">
        <color indexed="8"/>
      </bottom>
      <diagonal/>
    </border>
    <border>
      <left/>
      <right style="thin">
        <color indexed="64"/>
      </right>
      <top/>
      <bottom style="thin">
        <color indexed="8"/>
      </bottom>
      <diagonal/>
    </border>
    <border>
      <left style="thin">
        <color indexed="8"/>
      </left>
      <right/>
      <top style="thin">
        <color indexed="8"/>
      </top>
      <bottom/>
      <diagonal/>
    </border>
    <border>
      <left/>
      <right style="thin">
        <color auto="1"/>
      </right>
      <top style="thin">
        <color indexed="64"/>
      </top>
      <bottom/>
      <diagonal/>
    </border>
    <border>
      <left/>
      <right style="thin">
        <color indexed="64"/>
      </right>
      <top style="thin">
        <color indexed="8"/>
      </top>
      <bottom style="thin">
        <color indexed="8"/>
      </bottom>
      <diagonal/>
    </border>
    <border>
      <left style="thin">
        <color indexed="8"/>
      </left>
      <right style="thin">
        <color indexed="8"/>
      </right>
      <top style="thin">
        <color indexed="64"/>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diagonal/>
    </border>
    <border>
      <left style="thin">
        <color indexed="64"/>
      </left>
      <right/>
      <top/>
      <bottom style="thin">
        <color indexed="64"/>
      </bottom>
      <diagonal/>
    </border>
    <border>
      <left style="thin">
        <color indexed="8"/>
      </left>
      <right style="thin">
        <color indexed="64"/>
      </right>
      <top style="thin">
        <color indexed="64"/>
      </top>
      <bottom style="thin">
        <color indexed="8"/>
      </bottom>
      <diagonal/>
    </border>
    <border>
      <left style="thin">
        <color auto="1"/>
      </left>
      <right style="thin">
        <color auto="1"/>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8"/>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auto="1"/>
      </left>
      <right/>
      <top style="thin">
        <color indexed="64"/>
      </top>
      <bottom/>
      <diagonal/>
    </border>
    <border>
      <left style="thin">
        <color indexed="64"/>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indexed="8"/>
      </left>
      <right/>
      <top style="thin">
        <color indexed="64"/>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64"/>
      </right>
      <top style="thin">
        <color indexed="64"/>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8"/>
      </top>
      <bottom/>
      <diagonal/>
    </border>
    <border>
      <left style="thin">
        <color auto="1"/>
      </left>
      <right style="thin">
        <color auto="1"/>
      </right>
      <top style="thin">
        <color indexed="64"/>
      </top>
      <bottom/>
      <diagonal/>
    </border>
    <border>
      <left/>
      <right style="thin">
        <color indexed="8"/>
      </right>
      <top style="thin">
        <color indexed="8"/>
      </top>
      <bottom/>
      <diagonal/>
    </border>
    <border>
      <left style="thin">
        <color indexed="8"/>
      </left>
      <right style="thin">
        <color indexed="64"/>
      </right>
      <top/>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auto="1"/>
      </right>
      <top style="thin">
        <color indexed="64"/>
      </top>
      <bottom style="thin">
        <color indexed="64"/>
      </bottom>
      <diagonal/>
    </border>
    <border>
      <left/>
      <right/>
      <top/>
      <bottom style="medium">
        <color indexed="64"/>
      </bottom>
      <diagonal/>
    </border>
    <border>
      <left/>
      <right/>
      <top style="thin">
        <color auto="1"/>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style="thin">
        <color indexed="8"/>
      </right>
      <top style="thin">
        <color indexed="64"/>
      </top>
      <bottom style="thin">
        <color indexed="8"/>
      </bottom>
      <diagonal/>
    </border>
    <border>
      <left/>
      <right style="thin">
        <color indexed="8"/>
      </right>
      <top style="thin">
        <color indexed="8"/>
      </top>
      <bottom style="thin">
        <color indexed="8"/>
      </bottom>
      <diagonal/>
    </border>
    <border>
      <left/>
      <right style="thin">
        <color auto="1"/>
      </right>
      <top style="thin">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theme="0"/>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auto="1"/>
      </right>
      <top style="thin">
        <color indexed="64"/>
      </top>
      <bottom/>
      <diagonal/>
    </border>
    <border>
      <left style="thin">
        <color indexed="8"/>
      </left>
      <right style="thin">
        <color indexed="64"/>
      </right>
      <top style="thin">
        <color indexed="64"/>
      </top>
      <bottom style="thin">
        <color indexed="8"/>
      </bottom>
      <diagonal/>
    </border>
    <border>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8"/>
      </top>
      <bottom style="thin">
        <color indexed="64"/>
      </bottom>
      <diagonal/>
    </border>
    <border>
      <left style="thin">
        <color indexed="8"/>
      </left>
      <right/>
      <top/>
      <bottom/>
      <diagonal/>
    </border>
    <border>
      <left style="thin">
        <color auto="1"/>
      </left>
      <right style="thin">
        <color auto="1"/>
      </right>
      <top style="thin">
        <color indexed="64"/>
      </top>
      <bottom/>
      <diagonal/>
    </border>
    <border>
      <left/>
      <right/>
      <top style="thin">
        <color indexed="64"/>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indexed="64"/>
      </top>
      <bottom style="thin">
        <color auto="1"/>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right style="thin">
        <color auto="1"/>
      </right>
      <top/>
      <bottom style="thin">
        <color auto="1"/>
      </bottom>
      <diagonal/>
    </border>
    <border>
      <left/>
      <right style="thin">
        <color indexed="64"/>
      </right>
      <top style="thin">
        <color indexed="8"/>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xf numFmtId="0" fontId="10" fillId="0" borderId="0">
      <alignment vertical="top"/>
    </xf>
    <xf numFmtId="0" fontId="10" fillId="0" borderId="0">
      <alignment vertical="top"/>
    </xf>
    <xf numFmtId="0" fontId="10" fillId="0" borderId="0">
      <alignment vertical="top"/>
    </xf>
    <xf numFmtId="0" fontId="9" fillId="5" borderId="22" applyNumberFormat="0" applyFont="0" applyFill="0" applyBorder="0" applyAlignment="0">
      <alignment horizontal="center" vertical="center"/>
    </xf>
    <xf numFmtId="0" fontId="9" fillId="5" borderId="113" applyNumberFormat="0" applyFont="0" applyFill="0" applyBorder="0" applyAlignment="0">
      <alignment horizontal="center" vertical="center"/>
    </xf>
  </cellStyleXfs>
  <cellXfs count="1870">
    <xf numFmtId="0" fontId="0" fillId="0" borderId="0" xfId="0"/>
    <xf numFmtId="0" fontId="6" fillId="0" borderId="0" xfId="0" applyFont="1"/>
    <xf numFmtId="0" fontId="35" fillId="0" borderId="0" xfId="0" applyFont="1"/>
    <xf numFmtId="0" fontId="6" fillId="0" borderId="2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22" fillId="25" borderId="0" xfId="0" applyFont="1" applyFill="1" applyBorder="1" applyAlignment="1" applyProtection="1">
      <alignment horizontal="center"/>
    </xf>
    <xf numFmtId="1" fontId="22" fillId="25" borderId="0" xfId="0" applyNumberFormat="1" applyFont="1" applyFill="1" applyBorder="1" applyAlignment="1" applyProtection="1">
      <alignment horizontal="center"/>
    </xf>
    <xf numFmtId="0" fontId="0" fillId="0" borderId="0" xfId="0" applyProtection="1">
      <protection locked="0"/>
    </xf>
    <xf numFmtId="0" fontId="6" fillId="0" borderId="8" xfId="0" applyFont="1" applyBorder="1" applyProtection="1">
      <protection locked="0"/>
    </xf>
    <xf numFmtId="0" fontId="13" fillId="5" borderId="0" xfId="0" applyFont="1" applyFill="1" applyBorder="1" applyAlignment="1" applyProtection="1">
      <protection locked="0"/>
    </xf>
    <xf numFmtId="0" fontId="9" fillId="5" borderId="22" xfId="0" applyFont="1" applyFill="1" applyBorder="1" applyAlignment="1" applyProtection="1">
      <alignment horizontal="center" vertical="center"/>
      <protection locked="0"/>
    </xf>
    <xf numFmtId="165" fontId="9" fillId="5" borderId="22" xfId="0" applyNumberFormat="1" applyFont="1" applyFill="1" applyBorder="1" applyAlignment="1" applyProtection="1">
      <alignment horizontal="center" vertical="center"/>
      <protection locked="0"/>
    </xf>
    <xf numFmtId="165" fontId="9" fillId="5" borderId="22" xfId="0" applyNumberFormat="1" applyFont="1" applyFill="1" applyBorder="1" applyAlignment="1" applyProtection="1">
      <alignment horizontal="center"/>
      <protection locked="0"/>
    </xf>
    <xf numFmtId="0" fontId="9" fillId="5" borderId="66" xfId="0" applyFont="1" applyFill="1" applyBorder="1" applyAlignment="1" applyProtection="1">
      <alignment horizontal="center" vertical="center"/>
      <protection locked="0"/>
    </xf>
    <xf numFmtId="0" fontId="9" fillId="5" borderId="74" xfId="0" applyFont="1" applyFill="1" applyBorder="1" applyAlignment="1" applyProtection="1">
      <alignment horizontal="center" vertical="center"/>
      <protection locked="0"/>
    </xf>
    <xf numFmtId="0" fontId="6" fillId="0" borderId="22" xfId="0" applyFont="1" applyBorder="1" applyAlignment="1" applyProtection="1">
      <alignment horizontal="center"/>
      <protection locked="0"/>
    </xf>
    <xf numFmtId="165" fontId="9" fillId="19" borderId="22" xfId="0" applyNumberFormat="1" applyFont="1" applyFill="1" applyBorder="1" applyAlignment="1" applyProtection="1">
      <alignment horizontal="center" vertical="center"/>
    </xf>
    <xf numFmtId="0" fontId="9" fillId="7" borderId="22" xfId="0" applyFont="1" applyFill="1" applyBorder="1" applyAlignment="1" applyProtection="1">
      <alignment horizontal="center" vertical="center"/>
    </xf>
    <xf numFmtId="0" fontId="9" fillId="19" borderId="22" xfId="0" applyFont="1" applyFill="1" applyBorder="1" applyAlignment="1" applyProtection="1">
      <alignment horizontal="center" vertical="center"/>
    </xf>
    <xf numFmtId="0" fontId="9" fillId="19" borderId="68" xfId="0" applyFont="1" applyFill="1" applyBorder="1" applyAlignment="1" applyProtection="1">
      <alignment horizontal="center" vertical="center"/>
    </xf>
    <xf numFmtId="0" fontId="22" fillId="25" borderId="0" xfId="0" applyFont="1" applyFill="1" applyBorder="1" applyAlignment="1" applyProtection="1"/>
    <xf numFmtId="0" fontId="4" fillId="0" borderId="1" xfId="0" applyFont="1" applyBorder="1" applyProtection="1">
      <protection locked="0"/>
    </xf>
    <xf numFmtId="0" fontId="0" fillId="0" borderId="5" xfId="0" applyBorder="1" applyProtection="1">
      <protection locked="0"/>
    </xf>
    <xf numFmtId="0" fontId="6" fillId="0" borderId="0" xfId="0" applyFont="1" applyBorder="1" applyProtection="1">
      <protection locked="0"/>
    </xf>
    <xf numFmtId="0" fontId="6" fillId="0" borderId="6" xfId="0" applyFont="1" applyBorder="1" applyProtection="1">
      <protection locked="0"/>
    </xf>
    <xf numFmtId="0" fontId="5" fillId="0" borderId="6" xfId="0" applyFont="1" applyBorder="1" applyProtection="1">
      <protection locked="0"/>
    </xf>
    <xf numFmtId="0" fontId="6" fillId="0" borderId="7" xfId="0" applyFont="1" applyBorder="1" applyProtection="1">
      <protection locked="0"/>
    </xf>
    <xf numFmtId="0" fontId="4" fillId="0" borderId="5"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0" fillId="3" borderId="0" xfId="0" applyFill="1" applyBorder="1" applyProtection="1">
      <protection locked="0"/>
    </xf>
    <xf numFmtId="0" fontId="0" fillId="3" borderId="10" xfId="0" applyFill="1" applyBorder="1" applyProtection="1">
      <protection locked="0"/>
    </xf>
    <xf numFmtId="0" fontId="9" fillId="5" borderId="0" xfId="0" applyFont="1" applyFill="1" applyBorder="1" applyAlignment="1" applyProtection="1">
      <alignment horizontal="left"/>
      <protection locked="0"/>
    </xf>
    <xf numFmtId="0" fontId="9" fillId="5" borderId="10" xfId="0" applyFont="1" applyFill="1" applyBorder="1" applyAlignment="1" applyProtection="1">
      <alignment horizontal="left"/>
      <protection locked="0"/>
    </xf>
    <xf numFmtId="0" fontId="6" fillId="20" borderId="113" xfId="0" applyFont="1" applyFill="1" applyBorder="1" applyAlignment="1" applyProtection="1">
      <alignment horizontal="center"/>
    </xf>
    <xf numFmtId="0" fontId="9" fillId="5" borderId="93" xfId="0" applyFont="1" applyFill="1" applyBorder="1" applyAlignment="1" applyProtection="1">
      <alignment horizontal="center" vertical="center"/>
      <protection locked="0"/>
    </xf>
    <xf numFmtId="0" fontId="9" fillId="5" borderId="90" xfId="0" applyFont="1" applyFill="1" applyBorder="1" applyAlignment="1" applyProtection="1">
      <alignment horizontal="center" vertical="center"/>
      <protection locked="0"/>
    </xf>
    <xf numFmtId="166" fontId="9" fillId="0" borderId="106" xfId="1" applyNumberFormat="1" applyFont="1" applyFill="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9" fillId="5" borderId="64"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protection locked="0"/>
    </xf>
    <xf numFmtId="166" fontId="9" fillId="0" borderId="33" xfId="1" applyNumberFormat="1" applyFont="1" applyFill="1" applyBorder="1" applyAlignment="1" applyProtection="1">
      <alignment horizontal="center" vertical="center"/>
      <protection locked="0"/>
    </xf>
    <xf numFmtId="0" fontId="9" fillId="5" borderId="108" xfId="0" applyFont="1" applyFill="1" applyBorder="1" applyAlignment="1" applyProtection="1">
      <alignment horizontal="center" vertical="center"/>
      <protection locked="0"/>
    </xf>
    <xf numFmtId="166" fontId="9" fillId="5" borderId="33" xfId="1" applyNumberFormat="1" applyFont="1" applyFill="1" applyBorder="1" applyAlignment="1" applyProtection="1">
      <alignment horizontal="center" vertical="center"/>
      <protection locked="0"/>
    </xf>
    <xf numFmtId="0" fontId="9" fillId="5" borderId="109" xfId="0" applyFont="1" applyFill="1" applyBorder="1" applyAlignment="1" applyProtection="1">
      <alignment horizontal="center" vertical="center"/>
      <protection locked="0"/>
    </xf>
    <xf numFmtId="166" fontId="9" fillId="5" borderId="110" xfId="1" applyNumberFormat="1" applyFont="1" applyFill="1" applyBorder="1" applyAlignment="1" applyProtection="1">
      <alignment horizontal="center" vertical="center"/>
      <protection locked="0"/>
    </xf>
    <xf numFmtId="169" fontId="9" fillId="19" borderId="90" xfId="2" applyNumberFormat="1" applyFont="1" applyFill="1" applyBorder="1" applyAlignment="1" applyProtection="1">
      <alignment horizontal="center" vertical="center"/>
    </xf>
    <xf numFmtId="0" fontId="6" fillId="20" borderId="107" xfId="0" applyFont="1" applyFill="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165" fontId="9" fillId="5" borderId="32" xfId="1" applyNumberFormat="1" applyFont="1" applyFill="1" applyBorder="1" applyAlignment="1" applyProtection="1">
      <alignment horizontal="center" vertical="center"/>
      <protection locked="0"/>
    </xf>
    <xf numFmtId="0" fontId="0" fillId="0" borderId="0" xfId="0" applyProtection="1"/>
    <xf numFmtId="0" fontId="6" fillId="0" borderId="8" xfId="0" applyFont="1" applyBorder="1" applyProtection="1"/>
    <xf numFmtId="0" fontId="9" fillId="5" borderId="0" xfId="0" applyFont="1" applyFill="1" applyBorder="1" applyProtection="1"/>
    <xf numFmtId="0" fontId="5" fillId="0" borderId="16" xfId="0" applyFont="1" applyBorder="1" applyProtection="1"/>
    <xf numFmtId="49" fontId="6" fillId="0" borderId="17" xfId="0" applyNumberFormat="1" applyFont="1" applyBorder="1" applyAlignment="1" applyProtection="1">
      <alignment horizontal="left"/>
    </xf>
    <xf numFmtId="0" fontId="6" fillId="0" borderId="17" xfId="0" applyFont="1" applyBorder="1" applyProtection="1"/>
    <xf numFmtId="0" fontId="5" fillId="0" borderId="17" xfId="0" applyFont="1" applyBorder="1" applyProtection="1"/>
    <xf numFmtId="0" fontId="6" fillId="0" borderId="18" xfId="0" applyFont="1" applyBorder="1" applyAlignment="1" applyProtection="1">
      <alignment horizontal="right"/>
    </xf>
    <xf numFmtId="0" fontId="5" fillId="0" borderId="19" xfId="0" applyFont="1" applyBorder="1" applyProtection="1"/>
    <xf numFmtId="0" fontId="6" fillId="0" borderId="8" xfId="0" applyFont="1" applyBorder="1" applyAlignment="1" applyProtection="1">
      <alignment horizontal="left"/>
    </xf>
    <xf numFmtId="0" fontId="5" fillId="0" borderId="8" xfId="0" applyFont="1" applyBorder="1" applyProtection="1"/>
    <xf numFmtId="0" fontId="6" fillId="0" borderId="20" xfId="0" applyFont="1" applyBorder="1" applyAlignment="1" applyProtection="1">
      <alignment horizontal="right"/>
    </xf>
    <xf numFmtId="0" fontId="6" fillId="0" borderId="0" xfId="0" applyFont="1" applyProtection="1"/>
    <xf numFmtId="0" fontId="9" fillId="5" borderId="33" xfId="0" applyFont="1" applyFill="1" applyBorder="1" applyAlignment="1" applyProtection="1">
      <alignment horizontal="center" vertical="center"/>
      <protection locked="0"/>
    </xf>
    <xf numFmtId="0" fontId="9" fillId="5" borderId="32"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34" xfId="0" applyFont="1" applyFill="1" applyBorder="1" applyAlignment="1" applyProtection="1">
      <alignment horizontal="center" vertical="center" wrapText="1"/>
      <protection locked="0"/>
    </xf>
    <xf numFmtId="0" fontId="9" fillId="5" borderId="35" xfId="0" applyFont="1" applyFill="1" applyBorder="1" applyAlignment="1" applyProtection="1">
      <alignment horizontal="center" vertical="center" wrapText="1"/>
      <protection locked="0"/>
    </xf>
    <xf numFmtId="0" fontId="9" fillId="7" borderId="34" xfId="0" applyFont="1" applyFill="1" applyBorder="1" applyAlignment="1" applyProtection="1">
      <alignment horizontal="center" vertical="center" wrapText="1"/>
      <protection locked="0"/>
    </xf>
    <xf numFmtId="0" fontId="9" fillId="7" borderId="35" xfId="0" applyFont="1" applyFill="1" applyBorder="1" applyAlignment="1" applyProtection="1">
      <alignment horizontal="center" vertical="center" wrapText="1"/>
      <protection locked="0"/>
    </xf>
    <xf numFmtId="0" fontId="0" fillId="0" borderId="0" xfId="0" applyFont="1" applyProtection="1"/>
    <xf numFmtId="0" fontId="14" fillId="5" borderId="0" xfId="0" applyFont="1" applyFill="1" applyBorder="1" applyAlignment="1" applyProtection="1"/>
    <xf numFmtId="0" fontId="13" fillId="5" borderId="0" xfId="0" applyFont="1" applyFill="1" applyBorder="1" applyAlignment="1" applyProtection="1"/>
    <xf numFmtId="0" fontId="61" fillId="5" borderId="0" xfId="0" applyFont="1" applyFill="1" applyBorder="1" applyAlignment="1" applyProtection="1"/>
    <xf numFmtId="0" fontId="19" fillId="5" borderId="0" xfId="0" applyFont="1" applyFill="1" applyBorder="1" applyAlignment="1" applyProtection="1"/>
    <xf numFmtId="0" fontId="17" fillId="5" borderId="0" xfId="0" applyFont="1" applyFill="1" applyBorder="1" applyProtection="1"/>
    <xf numFmtId="0" fontId="26" fillId="5" borderId="0" xfId="0" applyFont="1" applyFill="1" applyBorder="1" applyAlignment="1" applyProtection="1"/>
    <xf numFmtId="0" fontId="9" fillId="16" borderId="154" xfId="0" applyFont="1" applyFill="1" applyBorder="1" applyAlignment="1" applyProtection="1">
      <alignment horizontal="center" vertical="center"/>
    </xf>
    <xf numFmtId="0" fontId="17" fillId="4" borderId="0" xfId="0" applyFont="1" applyFill="1" applyBorder="1" applyProtection="1"/>
    <xf numFmtId="0" fontId="9" fillId="16" borderId="158" xfId="0" applyFont="1" applyFill="1" applyBorder="1" applyAlignment="1" applyProtection="1">
      <alignment horizontal="center"/>
    </xf>
    <xf numFmtId="0" fontId="9" fillId="16" borderId="53" xfId="0" applyFont="1" applyFill="1" applyBorder="1" applyAlignment="1" applyProtection="1">
      <alignment horizontal="center"/>
    </xf>
    <xf numFmtId="0" fontId="22" fillId="4" borderId="0" xfId="8" applyFont="1" applyFill="1" applyBorder="1" applyAlignment="1" applyProtection="1"/>
    <xf numFmtId="0" fontId="9" fillId="5" borderId="22" xfId="0" applyFont="1" applyFill="1" applyBorder="1" applyAlignment="1" applyProtection="1">
      <alignment horizontal="left" vertical="center" wrapText="1" indent="1"/>
    </xf>
    <xf numFmtId="0" fontId="23" fillId="5" borderId="0" xfId="0" applyFont="1" applyFill="1" applyBorder="1" applyAlignment="1" applyProtection="1"/>
    <xf numFmtId="0" fontId="63" fillId="4" borderId="0" xfId="0" applyFont="1" applyFill="1" applyBorder="1" applyAlignment="1" applyProtection="1"/>
    <xf numFmtId="0" fontId="24" fillId="0" borderId="0" xfId="0" applyFont="1" applyProtection="1"/>
    <xf numFmtId="0" fontId="25" fillId="8" borderId="0" xfId="0" applyFont="1" applyFill="1" applyProtection="1"/>
    <xf numFmtId="0" fontId="25" fillId="5" borderId="0" xfId="0" applyFont="1" applyFill="1" applyBorder="1" applyAlignment="1" applyProtection="1"/>
    <xf numFmtId="0" fontId="27" fillId="8" borderId="0" xfId="0" applyFont="1" applyFill="1" applyProtection="1"/>
    <xf numFmtId="0" fontId="9" fillId="16" borderId="57" xfId="0" applyFont="1" applyFill="1" applyBorder="1" applyAlignment="1" applyProtection="1">
      <alignment horizontal="center"/>
    </xf>
    <xf numFmtId="0" fontId="9" fillId="16" borderId="60" xfId="0" applyFont="1" applyFill="1" applyBorder="1" applyAlignment="1" applyProtection="1">
      <alignment horizontal="center"/>
    </xf>
    <xf numFmtId="0" fontId="62" fillId="4" borderId="0" xfId="0" applyFont="1" applyFill="1" applyBorder="1" applyAlignment="1" applyProtection="1"/>
    <xf numFmtId="0" fontId="28" fillId="5" borderId="0" xfId="0" applyFont="1" applyFill="1" applyBorder="1" applyAlignment="1" applyProtection="1"/>
    <xf numFmtId="0" fontId="9" fillId="16" borderId="61" xfId="0" applyFont="1" applyFill="1" applyBorder="1" applyAlignment="1" applyProtection="1">
      <alignment horizontal="center"/>
    </xf>
    <xf numFmtId="0" fontId="9" fillId="16" borderId="64" xfId="0" applyFont="1" applyFill="1" applyBorder="1" applyAlignment="1" applyProtection="1">
      <alignment horizontal="center"/>
    </xf>
    <xf numFmtId="0" fontId="9" fillId="16" borderId="32" xfId="0" applyFont="1" applyFill="1" applyBorder="1" applyAlignment="1" applyProtection="1">
      <alignment horizontal="center" vertical="center"/>
    </xf>
    <xf numFmtId="0" fontId="9" fillId="16" borderId="34" xfId="0" applyFont="1" applyFill="1" applyBorder="1" applyAlignment="1" applyProtection="1">
      <alignment horizontal="center" vertical="center"/>
    </xf>
    <xf numFmtId="0" fontId="9" fillId="16" borderId="65" xfId="0" applyFont="1" applyFill="1" applyBorder="1" applyAlignment="1" applyProtection="1">
      <alignment horizontal="center" vertical="center"/>
    </xf>
    <xf numFmtId="0" fontId="9" fillId="19" borderId="67" xfId="0" applyFont="1" applyFill="1" applyBorder="1" applyAlignment="1" applyProtection="1">
      <alignment horizontal="center" vertical="center"/>
    </xf>
    <xf numFmtId="0" fontId="22" fillId="4" borderId="0" xfId="0" applyFont="1" applyFill="1" applyBorder="1" applyAlignment="1" applyProtection="1"/>
    <xf numFmtId="0" fontId="9" fillId="0" borderId="0" xfId="0" applyFont="1" applyProtection="1"/>
    <xf numFmtId="0" fontId="29" fillId="5" borderId="0" xfId="0" applyFont="1" applyFill="1" applyBorder="1" applyAlignment="1" applyProtection="1"/>
    <xf numFmtId="0" fontId="9" fillId="16" borderId="72" xfId="0" applyFont="1" applyFill="1" applyBorder="1" applyAlignment="1" applyProtection="1">
      <alignment horizontal="center" vertical="center"/>
    </xf>
    <xf numFmtId="0" fontId="0" fillId="0" borderId="0" xfId="0" applyBorder="1" applyProtection="1"/>
    <xf numFmtId="0" fontId="0" fillId="3" borderId="0" xfId="0" applyFont="1" applyFill="1" applyProtection="1"/>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6" fillId="0" borderId="22" xfId="0" applyFont="1" applyBorder="1" applyProtection="1">
      <protection locked="0"/>
    </xf>
    <xf numFmtId="0" fontId="6" fillId="0" borderId="17" xfId="0" applyFont="1" applyBorder="1" applyAlignment="1" applyProtection="1">
      <alignment horizontal="right"/>
    </xf>
    <xf numFmtId="0" fontId="0" fillId="3" borderId="0" xfId="0" applyFill="1" applyAlignment="1" applyProtection="1">
      <alignment horizontal="center"/>
    </xf>
    <xf numFmtId="0" fontId="6" fillId="0" borderId="8" xfId="0" applyFont="1" applyBorder="1" applyAlignment="1" applyProtection="1">
      <alignment horizontal="right"/>
    </xf>
    <xf numFmtId="0" fontId="6" fillId="0" borderId="0" xfId="0" applyFont="1" applyAlignment="1" applyProtection="1">
      <alignment horizontal="center"/>
    </xf>
    <xf numFmtId="0" fontId="14" fillId="5" borderId="0" xfId="3" applyFont="1" applyFill="1" applyBorder="1" applyAlignment="1" applyProtection="1"/>
    <xf numFmtId="0" fontId="30" fillId="0" borderId="0" xfId="0" applyFont="1" applyBorder="1" applyAlignment="1" applyProtection="1">
      <alignment horizontal="center" vertical="center"/>
    </xf>
    <xf numFmtId="0" fontId="31" fillId="3" borderId="0" xfId="0" applyFont="1" applyFill="1" applyAlignment="1" applyProtection="1">
      <alignment horizontal="center"/>
    </xf>
    <xf numFmtId="0" fontId="31" fillId="0" borderId="0" xfId="0" applyFont="1" applyProtection="1"/>
    <xf numFmtId="0" fontId="15" fillId="5" borderId="0" xfId="3" applyFont="1" applyFill="1" applyBorder="1" applyAlignment="1" applyProtection="1"/>
    <xf numFmtId="0" fontId="16" fillId="0" borderId="0" xfId="0" applyFont="1" applyAlignment="1" applyProtection="1">
      <alignment horizontal="left" vertical="center"/>
    </xf>
    <xf numFmtId="0" fontId="6" fillId="0" borderId="0" xfId="0" applyFont="1" applyAlignment="1" applyProtection="1">
      <alignment horizontal="center" vertical="center"/>
    </xf>
    <xf numFmtId="0" fontId="0" fillId="3" borderId="0" xfId="0" applyFill="1" applyAlignment="1" applyProtection="1">
      <alignment horizontal="center" vertical="center"/>
    </xf>
    <xf numFmtId="0" fontId="0" fillId="9" borderId="0" xfId="0" applyFill="1" applyAlignment="1" applyProtection="1">
      <alignment horizontal="left" vertical="center"/>
    </xf>
    <xf numFmtId="0" fontId="0" fillId="9" borderId="0" xfId="0" applyFill="1" applyAlignment="1" applyProtection="1">
      <alignment horizontal="center" vertical="center"/>
    </xf>
    <xf numFmtId="0" fontId="0" fillId="0" borderId="0" xfId="0" applyAlignment="1" applyProtection="1">
      <alignment horizontal="center" vertical="center"/>
    </xf>
    <xf numFmtId="0" fontId="6" fillId="2" borderId="22" xfId="0" applyFont="1" applyFill="1" applyBorder="1" applyAlignment="1" applyProtection="1">
      <alignment horizontal="center" vertical="center"/>
    </xf>
    <xf numFmtId="0" fontId="6" fillId="2" borderId="22" xfId="0" applyFont="1" applyFill="1" applyBorder="1" applyAlignment="1" applyProtection="1">
      <alignment horizontal="center" vertical="center" wrapText="1"/>
    </xf>
    <xf numFmtId="0" fontId="6" fillId="10" borderId="76" xfId="0" applyFont="1" applyFill="1" applyBorder="1" applyAlignment="1" applyProtection="1">
      <alignment vertical="center" wrapText="1"/>
    </xf>
    <xf numFmtId="0" fontId="6" fillId="11" borderId="80" xfId="0" applyFont="1" applyFill="1" applyBorder="1" applyAlignment="1" applyProtection="1">
      <alignment vertical="center" wrapText="1"/>
    </xf>
    <xf numFmtId="166" fontId="6" fillId="20" borderId="22" xfId="1" applyNumberFormat="1" applyFont="1" applyFill="1" applyBorder="1" applyAlignment="1" applyProtection="1">
      <alignment horizontal="center" vertical="center"/>
    </xf>
    <xf numFmtId="0" fontId="22" fillId="4" borderId="0" xfId="0" applyFont="1" applyFill="1" applyBorder="1" applyAlignment="1" applyProtection="1">
      <alignment horizontal="center"/>
    </xf>
    <xf numFmtId="0" fontId="6" fillId="11" borderId="83" xfId="0" applyFont="1" applyFill="1" applyBorder="1" applyAlignment="1" applyProtection="1">
      <alignment vertical="center" wrapText="1"/>
    </xf>
    <xf numFmtId="0" fontId="6" fillId="10" borderId="86" xfId="0" applyFont="1" applyFill="1" applyBorder="1" applyAlignment="1" applyProtection="1">
      <alignment vertical="center" wrapText="1"/>
    </xf>
    <xf numFmtId="0" fontId="6" fillId="10" borderId="87" xfId="0" applyFont="1" applyFill="1" applyBorder="1" applyAlignment="1" applyProtection="1">
      <alignment horizontal="center" vertical="center" wrapText="1"/>
    </xf>
    <xf numFmtId="0" fontId="32" fillId="0" borderId="0" xfId="0" applyFont="1" applyAlignment="1" applyProtection="1">
      <alignment horizontal="left" vertical="center"/>
    </xf>
    <xf numFmtId="0" fontId="33" fillId="0" borderId="0" xfId="0" applyFont="1" applyAlignment="1" applyProtection="1">
      <alignment horizontal="center" vertical="center"/>
    </xf>
    <xf numFmtId="0" fontId="33" fillId="0" borderId="0" xfId="0" applyFont="1" applyProtection="1"/>
    <xf numFmtId="0" fontId="33" fillId="0" borderId="0" xfId="0" applyFont="1" applyAlignment="1" applyProtection="1">
      <alignment horizontal="center"/>
    </xf>
    <xf numFmtId="0" fontId="34" fillId="3" borderId="0" xfId="0" applyFont="1" applyFill="1" applyAlignment="1" applyProtection="1">
      <alignment horizontal="center"/>
    </xf>
    <xf numFmtId="0" fontId="33" fillId="10" borderId="83" xfId="0" applyFont="1" applyFill="1" applyBorder="1" applyAlignment="1" applyProtection="1">
      <alignment vertical="center" wrapText="1"/>
    </xf>
    <xf numFmtId="0" fontId="33" fillId="10" borderId="85" xfId="0" applyFont="1" applyFill="1" applyBorder="1" applyAlignment="1" applyProtection="1">
      <alignment horizontal="center" vertical="center" wrapText="1"/>
    </xf>
    <xf numFmtId="0" fontId="34" fillId="0" borderId="0" xfId="0" applyFont="1" applyProtection="1"/>
    <xf numFmtId="0" fontId="6" fillId="10" borderId="83" xfId="0" applyFont="1" applyFill="1" applyBorder="1" applyAlignment="1" applyProtection="1">
      <alignment vertical="center" wrapText="1"/>
    </xf>
    <xf numFmtId="0" fontId="6" fillId="10" borderId="85" xfId="0" applyFont="1" applyFill="1" applyBorder="1" applyAlignment="1" applyProtection="1">
      <alignment horizontal="center" vertical="center" wrapText="1"/>
    </xf>
    <xf numFmtId="0" fontId="6" fillId="10" borderId="80" xfId="0" applyFont="1" applyFill="1" applyBorder="1" applyAlignment="1" applyProtection="1">
      <alignment vertical="center" wrapText="1"/>
    </xf>
    <xf numFmtId="0" fontId="35" fillId="0" borderId="0" xfId="0" applyFont="1" applyProtection="1"/>
    <xf numFmtId="0" fontId="30" fillId="0" borderId="0" xfId="0" applyFont="1" applyProtection="1"/>
    <xf numFmtId="0" fontId="30" fillId="0" borderId="0" xfId="0" applyFont="1" applyAlignment="1" applyProtection="1">
      <alignment horizontal="center"/>
    </xf>
    <xf numFmtId="0" fontId="16" fillId="2" borderId="16"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0" fontId="6" fillId="2" borderId="70" xfId="0" applyFont="1" applyFill="1" applyBorder="1" applyProtection="1"/>
    <xf numFmtId="0" fontId="6" fillId="2" borderId="0" xfId="0" applyFont="1" applyFill="1" applyBorder="1" applyProtection="1"/>
    <xf numFmtId="0" fontId="6" fillId="2" borderId="71" xfId="0" applyFont="1" applyFill="1" applyBorder="1" applyProtection="1"/>
    <xf numFmtId="9" fontId="6" fillId="20" borderId="75" xfId="2" applyFont="1" applyFill="1" applyBorder="1" applyAlignment="1" applyProtection="1">
      <alignment horizontal="center" vertical="center"/>
    </xf>
    <xf numFmtId="0" fontId="13" fillId="16" borderId="16" xfId="0" applyFont="1" applyFill="1" applyBorder="1" applyAlignment="1" applyProtection="1">
      <alignment horizontal="center" vertical="center"/>
    </xf>
    <xf numFmtId="0" fontId="13" fillId="16" borderId="18" xfId="0" applyFont="1" applyFill="1" applyBorder="1" applyAlignment="1" applyProtection="1">
      <alignment horizontal="center" vertical="center"/>
    </xf>
    <xf numFmtId="0" fontId="6" fillId="2" borderId="7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71" xfId="0" applyFont="1" applyFill="1" applyBorder="1" applyAlignment="1" applyProtection="1">
      <alignment horizontal="center" vertical="center"/>
    </xf>
    <xf numFmtId="0" fontId="6" fillId="2" borderId="71" xfId="0" applyFont="1" applyFill="1" applyBorder="1" applyAlignment="1" applyProtection="1">
      <alignment horizontal="center"/>
    </xf>
    <xf numFmtId="0" fontId="6" fillId="2" borderId="19" xfId="0" applyFont="1" applyFill="1" applyBorder="1" applyProtection="1"/>
    <xf numFmtId="0" fontId="6" fillId="2" borderId="20" xfId="0" applyFont="1" applyFill="1" applyBorder="1" applyAlignment="1" applyProtection="1">
      <alignment horizontal="center"/>
    </xf>
    <xf numFmtId="0" fontId="0" fillId="9" borderId="0" xfId="0" applyFill="1" applyProtection="1"/>
    <xf numFmtId="0" fontId="0" fillId="0" borderId="0" xfId="0" applyAlignment="1" applyProtection="1">
      <alignment horizontal="center"/>
    </xf>
    <xf numFmtId="0" fontId="6" fillId="3" borderId="22" xfId="0" applyFont="1" applyFill="1" applyBorder="1" applyAlignment="1" applyProtection="1">
      <alignment horizontal="center"/>
      <protection locked="0"/>
    </xf>
    <xf numFmtId="0" fontId="6" fillId="0" borderId="75" xfId="0" applyFont="1" applyBorder="1" applyAlignment="1" applyProtection="1">
      <alignment horizontal="center" vertical="center"/>
      <protection locked="0"/>
    </xf>
    <xf numFmtId="0" fontId="9" fillId="5" borderId="22" xfId="3" applyFont="1" applyFill="1" applyBorder="1" applyAlignment="1" applyProtection="1">
      <alignment horizontal="center" vertical="center"/>
      <protection locked="0"/>
    </xf>
    <xf numFmtId="165" fontId="6" fillId="0" borderId="69" xfId="0" applyNumberFormat="1"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1" fontId="6" fillId="0" borderId="22" xfId="0" applyNumberFormat="1" applyFont="1" applyBorder="1" applyAlignment="1" applyProtection="1">
      <alignment horizontal="center" vertical="center"/>
      <protection locked="0"/>
    </xf>
    <xf numFmtId="165" fontId="6" fillId="0" borderId="22" xfId="0" applyNumberFormat="1" applyFont="1" applyBorder="1" applyAlignment="1" applyProtection="1">
      <alignment horizontal="center" vertical="center"/>
      <protection locked="0"/>
    </xf>
    <xf numFmtId="0" fontId="17" fillId="5" borderId="0" xfId="3" applyFont="1" applyFill="1" applyBorder="1" applyProtection="1"/>
    <xf numFmtId="0" fontId="17" fillId="4" borderId="0" xfId="3" applyFont="1" applyFill="1" applyBorder="1" applyAlignment="1" applyProtection="1">
      <alignment horizontal="center"/>
    </xf>
    <xf numFmtId="0" fontId="0" fillId="9" borderId="113" xfId="0" applyFill="1" applyBorder="1" applyProtection="1"/>
    <xf numFmtId="0" fontId="17" fillId="6" borderId="0" xfId="3" applyFont="1" applyFill="1" applyBorder="1" applyProtection="1"/>
    <xf numFmtId="0" fontId="9" fillId="5" borderId="0" xfId="3" applyFont="1" applyFill="1" applyBorder="1" applyProtection="1"/>
    <xf numFmtId="0" fontId="18" fillId="8" borderId="0" xfId="4" applyFont="1" applyFill="1" applyProtection="1"/>
    <xf numFmtId="0" fontId="18" fillId="5" borderId="0" xfId="4" applyFont="1" applyFill="1" applyBorder="1" applyAlignment="1" applyProtection="1"/>
    <xf numFmtId="0" fontId="9" fillId="5" borderId="0" xfId="4" applyFont="1" applyFill="1" applyBorder="1" applyAlignment="1" applyProtection="1">
      <alignment horizontal="right"/>
    </xf>
    <xf numFmtId="0" fontId="9" fillId="5" borderId="22" xfId="3" applyFont="1" applyFill="1" applyBorder="1" applyAlignment="1" applyProtection="1">
      <alignment horizontal="center" vertical="center"/>
    </xf>
    <xf numFmtId="0" fontId="6" fillId="2" borderId="75" xfId="0" applyFont="1" applyFill="1" applyBorder="1" applyAlignment="1" applyProtection="1">
      <alignment horizontal="center" vertical="center" wrapText="1"/>
    </xf>
    <xf numFmtId="0" fontId="17" fillId="5" borderId="0" xfId="3" applyFont="1" applyFill="1" applyBorder="1" applyAlignment="1" applyProtection="1">
      <alignment horizontal="center"/>
    </xf>
    <xf numFmtId="1" fontId="9" fillId="5" borderId="69" xfId="3" applyNumberFormat="1" applyFont="1" applyFill="1" applyBorder="1" applyAlignment="1" applyProtection="1">
      <alignment horizontal="center" vertical="center"/>
      <protection locked="0"/>
    </xf>
    <xf numFmtId="165" fontId="9" fillId="5" borderId="22" xfId="3" applyNumberFormat="1" applyFont="1" applyFill="1" applyBorder="1" applyAlignment="1" applyProtection="1">
      <alignment horizontal="center" vertical="center"/>
      <protection locked="0"/>
    </xf>
    <xf numFmtId="0" fontId="9" fillId="4" borderId="22" xfId="3" applyFont="1" applyFill="1" applyBorder="1" applyAlignment="1" applyProtection="1">
      <alignment horizontal="center" vertical="center"/>
      <protection locked="0"/>
    </xf>
    <xf numFmtId="0" fontId="9" fillId="5" borderId="159" xfId="3" applyFont="1" applyFill="1" applyBorder="1" applyAlignment="1" applyProtection="1">
      <alignment horizontal="center"/>
      <protection locked="0"/>
    </xf>
    <xf numFmtId="1" fontId="9" fillId="5" borderId="63" xfId="3" applyNumberFormat="1" applyFont="1" applyFill="1" applyBorder="1" applyAlignment="1" applyProtection="1">
      <alignment horizontal="center" vertical="center"/>
      <protection locked="0"/>
    </xf>
    <xf numFmtId="165" fontId="9" fillId="5" borderId="90" xfId="3" applyNumberFormat="1" applyFont="1" applyFill="1" applyBorder="1" applyAlignment="1" applyProtection="1">
      <alignment horizontal="center" vertical="center"/>
      <protection locked="0"/>
    </xf>
    <xf numFmtId="1" fontId="9" fillId="5" borderId="53" xfId="3" applyNumberFormat="1" applyFont="1" applyFill="1" applyBorder="1" applyAlignment="1" applyProtection="1">
      <alignment horizontal="center" vertical="center"/>
      <protection locked="0"/>
    </xf>
    <xf numFmtId="165" fontId="9" fillId="5" borderId="104" xfId="3" applyNumberFormat="1" applyFont="1" applyFill="1" applyBorder="1" applyAlignment="1" applyProtection="1">
      <alignment horizontal="center" vertical="center"/>
      <protection locked="0"/>
    </xf>
    <xf numFmtId="0" fontId="9" fillId="21" borderId="113" xfId="4" applyFont="1" applyFill="1" applyBorder="1" applyAlignment="1" applyProtection="1">
      <alignment horizontal="center"/>
      <protection locked="0"/>
    </xf>
    <xf numFmtId="0" fontId="9" fillId="5" borderId="113" xfId="3" applyFont="1" applyFill="1" applyBorder="1" applyAlignment="1" applyProtection="1">
      <alignment horizontal="center"/>
      <protection locked="0"/>
    </xf>
    <xf numFmtId="1" fontId="9" fillId="5" borderId="90" xfId="3" applyNumberFormat="1" applyFont="1" applyFill="1" applyBorder="1" applyAlignment="1" applyProtection="1">
      <alignment horizontal="center" vertical="center"/>
      <protection locked="0"/>
    </xf>
    <xf numFmtId="165" fontId="9" fillId="4" borderId="90" xfId="3" applyNumberFormat="1" applyFont="1" applyFill="1" applyBorder="1" applyAlignment="1" applyProtection="1">
      <alignment horizontal="center" vertical="center"/>
      <protection locked="0"/>
    </xf>
    <xf numFmtId="1" fontId="9" fillId="5" borderId="104" xfId="3" applyNumberFormat="1" applyFont="1" applyFill="1" applyBorder="1" applyAlignment="1" applyProtection="1">
      <alignment horizontal="center" vertical="center"/>
      <protection locked="0"/>
    </xf>
    <xf numFmtId="1" fontId="9" fillId="5" borderId="22" xfId="3" applyNumberFormat="1" applyFont="1" applyFill="1" applyBorder="1" applyAlignment="1" applyProtection="1">
      <alignment horizontal="center" vertical="center"/>
      <protection locked="0"/>
    </xf>
    <xf numFmtId="49" fontId="9" fillId="21" borderId="113" xfId="4" applyNumberFormat="1" applyFont="1" applyFill="1" applyBorder="1" applyAlignment="1" applyProtection="1">
      <alignment horizontal="center"/>
      <protection locked="0"/>
    </xf>
    <xf numFmtId="0" fontId="9" fillId="5" borderId="63" xfId="3" applyFont="1" applyFill="1" applyBorder="1" applyAlignment="1" applyProtection="1">
      <alignment horizontal="center" vertical="center"/>
    </xf>
    <xf numFmtId="0" fontId="9" fillId="5" borderId="27" xfId="3" applyFont="1" applyFill="1" applyBorder="1" applyAlignment="1" applyProtection="1">
      <alignment horizontal="center" vertical="center"/>
    </xf>
    <xf numFmtId="0" fontId="9" fillId="5" borderId="15" xfId="3" applyFont="1" applyFill="1" applyBorder="1" applyAlignment="1" applyProtection="1">
      <alignment horizontal="center" vertical="center"/>
    </xf>
    <xf numFmtId="0" fontId="9" fillId="5" borderId="50" xfId="3" applyFont="1" applyFill="1" applyBorder="1" applyAlignment="1" applyProtection="1">
      <alignment horizontal="center" vertical="center"/>
    </xf>
    <xf numFmtId="0" fontId="9" fillId="5" borderId="32" xfId="0" applyFont="1" applyFill="1" applyBorder="1" applyAlignment="1" applyProtection="1">
      <alignment horizontal="center"/>
      <protection locked="0"/>
    </xf>
    <xf numFmtId="0" fontId="6" fillId="0" borderId="96" xfId="0" applyFont="1" applyBorder="1" applyAlignment="1" applyProtection="1">
      <alignment horizontal="right"/>
    </xf>
    <xf numFmtId="0" fontId="0" fillId="3" borderId="0" xfId="0" applyFill="1" applyProtection="1"/>
    <xf numFmtId="0" fontId="12" fillId="5" borderId="0" xfId="0" applyFont="1" applyFill="1" applyBorder="1" applyAlignment="1" applyProtection="1"/>
    <xf numFmtId="0" fontId="19" fillId="4" borderId="0" xfId="0" applyFont="1" applyFill="1" applyBorder="1" applyAlignment="1" applyProtection="1"/>
    <xf numFmtId="0" fontId="6" fillId="0" borderId="22" xfId="0" applyFont="1" applyBorder="1" applyAlignment="1" applyProtection="1">
      <alignment horizontal="right"/>
    </xf>
    <xf numFmtId="0" fontId="9" fillId="7" borderId="69" xfId="0" applyFont="1" applyFill="1" applyBorder="1" applyAlignment="1" applyProtection="1">
      <alignment horizontal="center"/>
    </xf>
    <xf numFmtId="0" fontId="9" fillId="7" borderId="22" xfId="0" applyFont="1" applyFill="1" applyBorder="1" applyAlignment="1" applyProtection="1">
      <alignment horizontal="center"/>
    </xf>
    <xf numFmtId="0" fontId="6" fillId="2" borderId="69" xfId="0" applyFont="1" applyFill="1" applyBorder="1" applyProtection="1"/>
    <xf numFmtId="0" fontId="6" fillId="2" borderId="22" xfId="0" applyFont="1" applyFill="1" applyBorder="1" applyProtection="1"/>
    <xf numFmtId="0" fontId="6" fillId="20" borderId="69" xfId="0" applyFont="1" applyFill="1" applyBorder="1" applyAlignment="1" applyProtection="1">
      <alignment horizontal="center"/>
    </xf>
    <xf numFmtId="0" fontId="19" fillId="6" borderId="0" xfId="0" applyFont="1" applyFill="1" applyBorder="1" applyAlignment="1" applyProtection="1"/>
    <xf numFmtId="0" fontId="25" fillId="8" borderId="70" xfId="0" applyFont="1" applyFill="1" applyBorder="1" applyAlignment="1" applyProtection="1">
      <alignment horizontal="left" indent="1"/>
    </xf>
    <xf numFmtId="0" fontId="27" fillId="5" borderId="0" xfId="0" applyFont="1" applyFill="1" applyBorder="1" applyAlignment="1" applyProtection="1"/>
    <xf numFmtId="0" fontId="6" fillId="0" borderId="0" xfId="0" applyFont="1" applyBorder="1" applyProtection="1"/>
    <xf numFmtId="0" fontId="15" fillId="5" borderId="0" xfId="0" applyFont="1" applyFill="1" applyBorder="1" applyAlignment="1" applyProtection="1"/>
    <xf numFmtId="0" fontId="9" fillId="20" borderId="107" xfId="0" applyFont="1" applyFill="1" applyBorder="1" applyAlignment="1" applyProtection="1">
      <alignment horizontal="center" vertical="center"/>
    </xf>
    <xf numFmtId="0" fontId="0" fillId="3" borderId="0" xfId="0" applyFill="1" applyBorder="1" applyProtection="1"/>
    <xf numFmtId="0" fontId="9" fillId="19" borderId="107" xfId="0" applyFont="1" applyFill="1" applyBorder="1" applyAlignment="1" applyProtection="1">
      <alignment horizontal="center" vertical="center"/>
    </xf>
    <xf numFmtId="0" fontId="9" fillId="5" borderId="0" xfId="0" applyFont="1" applyFill="1" applyBorder="1" applyAlignment="1" applyProtection="1">
      <alignment horizontal="right"/>
    </xf>
    <xf numFmtId="0" fontId="9" fillId="5" borderId="0"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9" fillId="5" borderId="0" xfId="0" applyFont="1" applyFill="1" applyBorder="1" applyAlignment="1" applyProtection="1">
      <alignment horizontal="left"/>
    </xf>
    <xf numFmtId="0" fontId="9" fillId="5" borderId="0" xfId="0" applyFont="1" applyFill="1" applyBorder="1" applyAlignment="1" applyProtection="1">
      <alignment horizontal="center"/>
    </xf>
    <xf numFmtId="0" fontId="22" fillId="4" borderId="0" xfId="0" applyFont="1" applyFill="1" applyBorder="1" applyProtection="1"/>
    <xf numFmtId="0" fontId="45" fillId="4" borderId="0" xfId="0" applyFont="1" applyFill="1" applyBorder="1" applyAlignment="1" applyProtection="1">
      <alignment horizontal="center"/>
    </xf>
    <xf numFmtId="2" fontId="9" fillId="19" borderId="22" xfId="0" applyNumberFormat="1" applyFont="1" applyFill="1" applyBorder="1" applyAlignment="1" applyProtection="1">
      <alignment horizontal="center" vertical="center"/>
    </xf>
    <xf numFmtId="0" fontId="9" fillId="7" borderId="22" xfId="0" applyFont="1" applyFill="1" applyBorder="1" applyAlignment="1" applyProtection="1">
      <alignment horizontal="center" vertical="center" wrapText="1"/>
    </xf>
    <xf numFmtId="0" fontId="0" fillId="3" borderId="0" xfId="0" applyFill="1" applyBorder="1" applyAlignment="1" applyProtection="1">
      <alignment horizontal="right"/>
    </xf>
    <xf numFmtId="0" fontId="0" fillId="14" borderId="0" xfId="0" applyFill="1" applyProtection="1"/>
    <xf numFmtId="0" fontId="0" fillId="14" borderId="113" xfId="0" applyFill="1" applyBorder="1" applyProtection="1"/>
    <xf numFmtId="0" fontId="0" fillId="14" borderId="113" xfId="0" applyFill="1" applyBorder="1" applyAlignment="1" applyProtection="1">
      <alignment horizontal="center"/>
    </xf>
    <xf numFmtId="0" fontId="3" fillId="15" borderId="0" xfId="0" applyFont="1" applyFill="1" applyAlignment="1" applyProtection="1">
      <alignment horizontal="center"/>
    </xf>
    <xf numFmtId="0" fontId="46" fillId="14" borderId="111" xfId="0" applyFont="1" applyFill="1" applyBorder="1" applyAlignment="1" applyProtection="1">
      <alignment horizontal="center" vertical="center"/>
    </xf>
    <xf numFmtId="2" fontId="46" fillId="14" borderId="113" xfId="0" applyNumberFormat="1" applyFont="1" applyFill="1" applyBorder="1" applyAlignment="1" applyProtection="1">
      <alignment horizontal="center" vertical="center"/>
    </xf>
    <xf numFmtId="0" fontId="6" fillId="0" borderId="0" xfId="0" applyFont="1" applyAlignment="1" applyProtection="1">
      <alignment horizontal="left"/>
    </xf>
    <xf numFmtId="0" fontId="58" fillId="0" borderId="0" xfId="0" applyFont="1" applyAlignment="1" applyProtection="1">
      <alignment horizontal="left"/>
    </xf>
    <xf numFmtId="0" fontId="0" fillId="0" borderId="0" xfId="0" applyAlignment="1" applyProtection="1">
      <alignment horizontal="left"/>
    </xf>
    <xf numFmtId="0" fontId="6" fillId="0" borderId="164" xfId="0" applyFont="1" applyBorder="1" applyProtection="1"/>
    <xf numFmtId="0" fontId="16" fillId="0" borderId="16" xfId="0" applyFont="1" applyBorder="1" applyAlignment="1" applyProtection="1">
      <alignment horizontal="left"/>
    </xf>
    <xf numFmtId="0" fontId="6" fillId="0" borderId="96" xfId="0" applyFont="1" applyBorder="1" applyProtection="1"/>
    <xf numFmtId="0" fontId="46" fillId="14" borderId="111" xfId="0" quotePrefix="1" applyFont="1" applyFill="1" applyBorder="1" applyAlignment="1" applyProtection="1">
      <alignment horizontal="center" vertical="center"/>
    </xf>
    <xf numFmtId="0" fontId="9" fillId="5" borderId="113" xfId="0" applyFont="1" applyFill="1" applyBorder="1" applyAlignment="1" applyProtection="1">
      <alignment horizontal="left"/>
    </xf>
    <xf numFmtId="0" fontId="6" fillId="0" borderId="113" xfId="0" applyFont="1" applyBorder="1" applyAlignment="1" applyProtection="1">
      <alignment horizontal="center" vertical="center"/>
    </xf>
    <xf numFmtId="0" fontId="6" fillId="0" borderId="71" xfId="0" applyFont="1" applyBorder="1" applyProtection="1"/>
    <xf numFmtId="0" fontId="13" fillId="16" borderId="114" xfId="0" applyFont="1" applyFill="1" applyBorder="1" applyAlignment="1" applyProtection="1">
      <alignment horizontal="left" indent="1"/>
    </xf>
    <xf numFmtId="0" fontId="9" fillId="8" borderId="113" xfId="0" applyFont="1" applyFill="1" applyBorder="1" applyAlignment="1" applyProtection="1">
      <alignment horizontal="left" indent="1"/>
    </xf>
    <xf numFmtId="0" fontId="13" fillId="16" borderId="96" xfId="0" applyFont="1" applyFill="1" applyBorder="1" applyAlignment="1" applyProtection="1">
      <alignment horizontal="center" vertical="center"/>
    </xf>
    <xf numFmtId="0" fontId="47" fillId="7" borderId="70" xfId="0" applyFont="1" applyFill="1" applyBorder="1" applyAlignment="1" applyProtection="1">
      <alignment horizontal="center" vertical="center"/>
    </xf>
    <xf numFmtId="0" fontId="47" fillId="7" borderId="71" xfId="0" applyFont="1" applyFill="1" applyBorder="1" applyAlignment="1" applyProtection="1">
      <alignment horizontal="center" vertical="center"/>
    </xf>
    <xf numFmtId="0" fontId="0" fillId="14" borderId="113" xfId="0" applyFill="1" applyBorder="1" applyAlignment="1" applyProtection="1">
      <alignment horizontal="center" vertical="center"/>
    </xf>
    <xf numFmtId="168" fontId="0" fillId="14" borderId="113" xfId="0" applyNumberFormat="1" applyFill="1" applyBorder="1" applyAlignment="1" applyProtection="1">
      <alignment horizontal="center" vertical="center"/>
    </xf>
    <xf numFmtId="174" fontId="0" fillId="9" borderId="0" xfId="0" applyNumberFormat="1" applyFill="1" applyProtection="1"/>
    <xf numFmtId="0" fontId="47" fillId="7" borderId="19" xfId="0" applyFont="1" applyFill="1" applyBorder="1" applyAlignment="1" applyProtection="1">
      <alignment horizontal="center" vertical="center"/>
    </xf>
    <xf numFmtId="0" fontId="47" fillId="7" borderId="20" xfId="0" applyFont="1" applyFill="1" applyBorder="1" applyAlignment="1" applyProtection="1">
      <alignment horizontal="center" vertical="center"/>
    </xf>
    <xf numFmtId="0" fontId="6" fillId="19" borderId="44" xfId="0" applyFont="1" applyFill="1" applyBorder="1" applyAlignment="1" applyProtection="1">
      <alignment horizontal="center" vertical="center"/>
    </xf>
    <xf numFmtId="0" fontId="47" fillId="7" borderId="16" xfId="0" applyFont="1" applyFill="1" applyBorder="1" applyAlignment="1" applyProtection="1">
      <alignment horizontal="center" vertical="center"/>
    </xf>
    <xf numFmtId="0" fontId="47" fillId="7" borderId="96" xfId="0" applyFont="1" applyFill="1" applyBorder="1" applyAlignment="1" applyProtection="1">
      <alignment horizontal="center" vertical="center"/>
    </xf>
    <xf numFmtId="0" fontId="6" fillId="9" borderId="113" xfId="0" applyFont="1" applyFill="1" applyBorder="1" applyAlignment="1" applyProtection="1">
      <alignment horizontal="center"/>
    </xf>
    <xf numFmtId="0" fontId="35" fillId="0" borderId="16" xfId="0" applyFont="1" applyBorder="1" applyAlignment="1" applyProtection="1">
      <alignment horizontal="left"/>
    </xf>
    <xf numFmtId="0" fontId="13" fillId="16" borderId="113" xfId="0" applyFont="1" applyFill="1" applyBorder="1" applyAlignment="1" applyProtection="1">
      <alignment horizontal="center"/>
    </xf>
    <xf numFmtId="0" fontId="6" fillId="0" borderId="70" xfId="0" applyFont="1" applyBorder="1" applyAlignment="1" applyProtection="1">
      <alignment horizontal="center" vertical="center"/>
    </xf>
    <xf numFmtId="0" fontId="6" fillId="2" borderId="68" xfId="0" applyFont="1" applyFill="1" applyBorder="1" applyProtection="1"/>
    <xf numFmtId="0" fontId="6" fillId="2" borderId="96" xfId="0" applyFont="1" applyFill="1" applyBorder="1" applyProtection="1"/>
    <xf numFmtId="0" fontId="6" fillId="2" borderId="44" xfId="0" applyFont="1" applyFill="1" applyBorder="1" applyProtection="1"/>
    <xf numFmtId="0" fontId="48" fillId="14" borderId="0" xfId="0" applyFont="1" applyFill="1" applyAlignment="1" applyProtection="1">
      <alignment horizontal="center" vertical="center"/>
    </xf>
    <xf numFmtId="0" fontId="0" fillId="9" borderId="113" xfId="0" applyFill="1" applyBorder="1" applyAlignment="1" applyProtection="1">
      <alignment horizontal="center" vertical="center"/>
    </xf>
    <xf numFmtId="167" fontId="0" fillId="9" borderId="113" xfId="0" applyNumberFormat="1" applyFill="1" applyBorder="1" applyAlignment="1" applyProtection="1">
      <alignment horizontal="center" vertical="center"/>
    </xf>
    <xf numFmtId="0" fontId="0" fillId="14" borderId="0" xfId="0" applyFill="1" applyAlignment="1" applyProtection="1">
      <alignment horizontal="center" vertical="center"/>
    </xf>
    <xf numFmtId="0" fontId="6" fillId="0" borderId="70" xfId="0" applyFont="1" applyBorder="1" applyAlignment="1" applyProtection="1">
      <alignment horizontal="left"/>
    </xf>
    <xf numFmtId="2" fontId="6" fillId="20" borderId="113" xfId="0" applyNumberFormat="1" applyFont="1" applyFill="1" applyBorder="1" applyAlignment="1" applyProtection="1">
      <alignment horizontal="center"/>
    </xf>
    <xf numFmtId="0" fontId="6" fillId="0" borderId="19" xfId="0" applyFont="1" applyBorder="1" applyAlignment="1" applyProtection="1">
      <alignment horizontal="left"/>
    </xf>
    <xf numFmtId="0" fontId="6" fillId="2" borderId="73" xfId="0" applyFont="1" applyFill="1" applyBorder="1" applyProtection="1"/>
    <xf numFmtId="0" fontId="6" fillId="2" borderId="20" xfId="0" applyFont="1" applyFill="1" applyBorder="1" applyProtection="1"/>
    <xf numFmtId="0" fontId="35" fillId="0" borderId="70" xfId="0" applyFont="1" applyBorder="1" applyAlignment="1" applyProtection="1">
      <alignment horizontal="left"/>
    </xf>
    <xf numFmtId="0" fontId="6" fillId="0" borderId="68" xfId="0" applyFont="1" applyBorder="1" applyAlignment="1" applyProtection="1">
      <alignment horizontal="center" vertical="center"/>
    </xf>
    <xf numFmtId="0" fontId="6" fillId="20" borderId="68" xfId="0" applyFont="1" applyFill="1" applyBorder="1" applyAlignment="1" applyProtection="1">
      <alignment horizontal="center" vertical="center"/>
    </xf>
    <xf numFmtId="0" fontId="6" fillId="0" borderId="47" xfId="0" applyFont="1" applyBorder="1" applyAlignment="1" applyProtection="1">
      <alignment horizontal="center" vertical="center"/>
    </xf>
    <xf numFmtId="2" fontId="6" fillId="20" borderId="47" xfId="0" applyNumberFormat="1" applyFont="1" applyFill="1" applyBorder="1" applyAlignment="1" applyProtection="1">
      <alignment horizontal="center"/>
    </xf>
    <xf numFmtId="167" fontId="6" fillId="20" borderId="113" xfId="0" applyNumberFormat="1" applyFont="1" applyFill="1" applyBorder="1" applyAlignment="1" applyProtection="1">
      <alignment horizontal="center"/>
    </xf>
    <xf numFmtId="0" fontId="6" fillId="0" borderId="56" xfId="0" applyFont="1" applyBorder="1" applyAlignment="1" applyProtection="1">
      <alignment horizontal="center" vertical="center"/>
    </xf>
    <xf numFmtId="2" fontId="16" fillId="20" borderId="56" xfId="0" applyNumberFormat="1" applyFont="1" applyFill="1" applyBorder="1" applyAlignment="1" applyProtection="1">
      <alignment horizontal="center"/>
    </xf>
    <xf numFmtId="0" fontId="6" fillId="20" borderId="112" xfId="0" applyFont="1" applyFill="1" applyBorder="1" applyAlignment="1" applyProtection="1">
      <alignment horizontal="center"/>
    </xf>
    <xf numFmtId="0" fontId="0" fillId="14" borderId="49" xfId="0" applyFill="1" applyBorder="1" applyAlignment="1" applyProtection="1">
      <alignment horizontal="center" vertical="center"/>
    </xf>
    <xf numFmtId="0" fontId="0" fillId="14" borderId="56" xfId="0" applyFill="1" applyBorder="1" applyAlignment="1" applyProtection="1">
      <alignment horizontal="center" vertical="center"/>
    </xf>
    <xf numFmtId="0" fontId="0" fillId="14" borderId="116" xfId="0" applyFill="1" applyBorder="1" applyAlignment="1" applyProtection="1">
      <alignment horizontal="center" vertical="center"/>
    </xf>
    <xf numFmtId="0" fontId="6" fillId="26" borderId="0" xfId="0" applyFont="1" applyFill="1" applyAlignment="1" applyProtection="1">
      <alignment horizontal="center"/>
    </xf>
    <xf numFmtId="0" fontId="2" fillId="14" borderId="118" xfId="0" applyFont="1" applyFill="1" applyBorder="1" applyAlignment="1" applyProtection="1">
      <alignment horizontal="center" wrapText="1"/>
    </xf>
    <xf numFmtId="0" fontId="2" fillId="14" borderId="47" xfId="0" applyFont="1" applyFill="1" applyBorder="1" applyAlignment="1" applyProtection="1">
      <alignment horizontal="center" wrapText="1"/>
    </xf>
    <xf numFmtId="0" fontId="2" fillId="14" borderId="48" xfId="0" applyFont="1" applyFill="1" applyBorder="1" applyAlignment="1" applyProtection="1">
      <alignment horizontal="center" wrapText="1"/>
    </xf>
    <xf numFmtId="0" fontId="0" fillId="14" borderId="54" xfId="0" applyFill="1" applyBorder="1" applyAlignment="1" applyProtection="1">
      <alignment horizontal="center" vertical="center"/>
    </xf>
    <xf numFmtId="0" fontId="0" fillId="14" borderId="55" xfId="0" applyFill="1" applyBorder="1" applyAlignment="1" applyProtection="1">
      <alignment horizontal="center" vertical="center"/>
    </xf>
    <xf numFmtId="0" fontId="0" fillId="14" borderId="119" xfId="0" applyFill="1" applyBorder="1" applyAlignment="1" applyProtection="1">
      <alignment horizontal="center" vertical="center"/>
    </xf>
    <xf numFmtId="0" fontId="2" fillId="12" borderId="118" xfId="0" applyFont="1" applyFill="1" applyBorder="1" applyAlignment="1" applyProtection="1">
      <alignment horizontal="center" vertical="center" wrapText="1"/>
    </xf>
    <xf numFmtId="0" fontId="2" fillId="12" borderId="47" xfId="0" applyFont="1" applyFill="1" applyBorder="1" applyAlignment="1" applyProtection="1">
      <alignment horizontal="center" vertical="center" wrapText="1"/>
    </xf>
    <xf numFmtId="0" fontId="0" fillId="0" borderId="54" xfId="0" applyBorder="1" applyAlignment="1" applyProtection="1">
      <alignment horizontal="center"/>
    </xf>
    <xf numFmtId="0" fontId="0" fillId="0" borderId="113" xfId="0" applyBorder="1" applyAlignment="1" applyProtection="1">
      <alignment horizontal="center" vertical="center"/>
    </xf>
    <xf numFmtId="167" fontId="0" fillId="0" borderId="0" xfId="0" applyNumberFormat="1" applyProtection="1"/>
    <xf numFmtId="0" fontId="0" fillId="0" borderId="55" xfId="0" applyBorder="1" applyAlignment="1" applyProtection="1">
      <alignment horizontal="center"/>
    </xf>
    <xf numFmtId="0" fontId="0" fillId="0" borderId="56"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171" fontId="0" fillId="0" borderId="0" xfId="1" applyNumberFormat="1" applyFont="1" applyBorder="1" applyProtection="1"/>
    <xf numFmtId="0" fontId="2" fillId="12" borderId="47" xfId="0" applyFont="1" applyFill="1" applyBorder="1" applyAlignment="1" applyProtection="1">
      <alignment horizontal="center" wrapText="1"/>
    </xf>
    <xf numFmtId="0" fontId="2" fillId="12" borderId="48" xfId="0" applyFont="1" applyFill="1" applyBorder="1" applyAlignment="1" applyProtection="1">
      <alignment horizontal="center" wrapText="1"/>
    </xf>
    <xf numFmtId="171" fontId="0" fillId="0" borderId="113" xfId="1" applyNumberFormat="1" applyFont="1" applyBorder="1" applyProtection="1"/>
    <xf numFmtId="0" fontId="0" fillId="0" borderId="49" xfId="0" applyBorder="1" applyAlignment="1" applyProtection="1">
      <alignment horizontal="center" vertical="center"/>
    </xf>
    <xf numFmtId="171" fontId="0" fillId="0" borderId="56" xfId="1" applyNumberFormat="1" applyFont="1" applyBorder="1" applyProtection="1"/>
    <xf numFmtId="0" fontId="0" fillId="0" borderId="116" xfId="0" applyBorder="1" applyAlignment="1" applyProtection="1">
      <alignment horizontal="center" vertical="center"/>
    </xf>
    <xf numFmtId="0" fontId="2" fillId="12" borderId="118" xfId="0" applyFont="1" applyFill="1" applyBorder="1" applyAlignment="1" applyProtection="1">
      <alignment horizontal="center" wrapText="1"/>
    </xf>
    <xf numFmtId="0" fontId="2" fillId="12" borderId="47" xfId="0" applyFont="1" applyFill="1" applyBorder="1" applyAlignment="1" applyProtection="1">
      <alignment wrapText="1"/>
    </xf>
    <xf numFmtId="0" fontId="0" fillId="0" borderId="54" xfId="0" applyBorder="1" applyProtection="1"/>
    <xf numFmtId="0" fontId="0" fillId="0" borderId="113" xfId="0" applyBorder="1" applyProtection="1"/>
    <xf numFmtId="2" fontId="2" fillId="0" borderId="56" xfId="0" applyNumberFormat="1" applyFont="1" applyBorder="1" applyAlignment="1" applyProtection="1">
      <alignment horizontal="center"/>
    </xf>
    <xf numFmtId="2" fontId="2" fillId="0" borderId="116" xfId="0" applyNumberFormat="1" applyFont="1" applyBorder="1" applyAlignment="1" applyProtection="1">
      <alignment horizontal="center"/>
    </xf>
    <xf numFmtId="0" fontId="4" fillId="0" borderId="113" xfId="0" applyFont="1" applyBorder="1" applyAlignment="1" applyProtection="1">
      <alignment horizontal="center" vertical="center"/>
    </xf>
    <xf numFmtId="167" fontId="0" fillId="0" borderId="73" xfId="0" applyNumberFormat="1" applyBorder="1" applyAlignment="1" applyProtection="1">
      <alignment horizontal="center"/>
    </xf>
    <xf numFmtId="167" fontId="0" fillId="0" borderId="115" xfId="0" applyNumberFormat="1" applyBorder="1" applyAlignment="1" applyProtection="1">
      <alignment horizontal="center"/>
    </xf>
    <xf numFmtId="167" fontId="0" fillId="0" borderId="113" xfId="0" applyNumberFormat="1" applyBorder="1" applyAlignment="1" applyProtection="1">
      <alignment horizontal="center"/>
    </xf>
    <xf numFmtId="167" fontId="0" fillId="0" borderId="49" xfId="0" applyNumberFormat="1" applyBorder="1" applyAlignment="1" applyProtection="1">
      <alignment horizontal="center"/>
    </xf>
    <xf numFmtId="0" fontId="4" fillId="0" borderId="56" xfId="0" applyFont="1" applyBorder="1" applyAlignment="1" applyProtection="1">
      <alignment horizontal="center" vertical="center"/>
    </xf>
    <xf numFmtId="167" fontId="0" fillId="0" borderId="56" xfId="0" applyNumberFormat="1" applyBorder="1" applyAlignment="1" applyProtection="1">
      <alignment horizontal="center"/>
    </xf>
    <xf numFmtId="167" fontId="0" fillId="0" borderId="116" xfId="0" applyNumberFormat="1" applyBorder="1" applyAlignment="1" applyProtection="1">
      <alignment horizontal="center"/>
    </xf>
    <xf numFmtId="168" fontId="0" fillId="9" borderId="113" xfId="0" applyNumberFormat="1" applyFill="1" applyBorder="1" applyProtection="1"/>
    <xf numFmtId="0" fontId="6" fillId="0" borderId="113" xfId="0" applyFont="1" applyBorder="1" applyAlignment="1" applyProtection="1">
      <alignment horizontal="center" vertical="center"/>
      <protection locked="0"/>
    </xf>
    <xf numFmtId="0" fontId="6" fillId="0" borderId="113" xfId="0" applyFont="1" applyBorder="1" applyProtection="1">
      <protection locked="0"/>
    </xf>
    <xf numFmtId="0" fontId="6" fillId="0" borderId="73" xfId="0" applyFont="1" applyBorder="1" applyAlignment="1" applyProtection="1">
      <alignment horizontal="center"/>
      <protection locked="0"/>
    </xf>
    <xf numFmtId="167" fontId="6" fillId="0" borderId="113" xfId="0" applyNumberFormat="1" applyFont="1" applyBorder="1" applyAlignment="1" applyProtection="1">
      <alignment horizontal="center"/>
      <protection locked="0"/>
    </xf>
    <xf numFmtId="0" fontId="6" fillId="0" borderId="111" xfId="0" applyFont="1" applyBorder="1" applyAlignment="1" applyProtection="1">
      <alignment horizontal="center"/>
      <protection locked="0"/>
    </xf>
    <xf numFmtId="0" fontId="9" fillId="5" borderId="38" xfId="0" applyFont="1" applyFill="1" applyBorder="1" applyAlignment="1" applyProtection="1">
      <alignment horizontal="center" vertical="center"/>
      <protection locked="0"/>
    </xf>
    <xf numFmtId="0" fontId="9" fillId="5" borderId="113"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protection locked="0"/>
    </xf>
    <xf numFmtId="0" fontId="13" fillId="5" borderId="113" xfId="0" applyFont="1" applyFill="1" applyBorder="1" applyAlignment="1" applyProtection="1">
      <protection locked="0"/>
    </xf>
    <xf numFmtId="0" fontId="9" fillId="5" borderId="13" xfId="0" applyFont="1" applyFill="1" applyBorder="1" applyAlignment="1" applyProtection="1">
      <alignment horizontal="center" vertical="center"/>
      <protection locked="0"/>
    </xf>
    <xf numFmtId="0" fontId="9" fillId="5" borderId="37" xfId="0" applyFont="1" applyFill="1" applyBorder="1" applyAlignment="1" applyProtection="1">
      <alignment horizontal="center" vertical="center"/>
      <protection locked="0"/>
    </xf>
    <xf numFmtId="0" fontId="9" fillId="19" borderId="40" xfId="0" applyFont="1" applyFill="1" applyBorder="1" applyAlignment="1" applyProtection="1">
      <alignment horizontal="center" vertical="center"/>
      <protection locked="0"/>
    </xf>
    <xf numFmtId="1" fontId="9" fillId="5" borderId="97" xfId="0" applyNumberFormat="1" applyFont="1" applyFill="1" applyBorder="1" applyAlignment="1" applyProtection="1">
      <alignment horizontal="center"/>
      <protection locked="0"/>
    </xf>
    <xf numFmtId="1" fontId="9" fillId="5" borderId="97" xfId="0" applyNumberFormat="1" applyFont="1" applyFill="1" applyBorder="1" applyAlignment="1" applyProtection="1">
      <alignment horizontal="center" vertical="center"/>
      <protection locked="0"/>
    </xf>
    <xf numFmtId="1" fontId="9" fillId="5" borderId="94" xfId="0" applyNumberFormat="1" applyFont="1" applyFill="1" applyBorder="1" applyAlignment="1" applyProtection="1">
      <alignment horizontal="center"/>
      <protection locked="0"/>
    </xf>
    <xf numFmtId="0" fontId="5" fillId="0" borderId="165" xfId="0" applyFont="1" applyBorder="1" applyProtection="1"/>
    <xf numFmtId="0" fontId="0" fillId="0" borderId="166" xfId="0" applyBorder="1" applyProtection="1"/>
    <xf numFmtId="49" fontId="6" fillId="0" borderId="166" xfId="0" applyNumberFormat="1" applyFont="1" applyBorder="1" applyAlignment="1" applyProtection="1">
      <alignment horizontal="left"/>
    </xf>
    <xf numFmtId="0" fontId="5" fillId="0" borderId="166" xfId="0" applyFont="1" applyBorder="1" applyProtection="1"/>
    <xf numFmtId="0" fontId="6" fillId="0" borderId="167" xfId="0" applyFont="1" applyBorder="1" applyAlignment="1" applyProtection="1">
      <alignment horizontal="right"/>
    </xf>
    <xf numFmtId="0" fontId="5" fillId="0" borderId="162" xfId="0" applyFont="1" applyBorder="1" applyProtection="1"/>
    <xf numFmtId="0" fontId="0" fillId="0" borderId="164" xfId="0" applyBorder="1" applyProtection="1"/>
    <xf numFmtId="0" fontId="5" fillId="0" borderId="164" xfId="0" applyFont="1" applyBorder="1" applyProtection="1"/>
    <xf numFmtId="0" fontId="6" fillId="0" borderId="163" xfId="0" applyFont="1" applyBorder="1" applyAlignment="1" applyProtection="1">
      <alignment horizontal="right"/>
    </xf>
    <xf numFmtId="2" fontId="6" fillId="9" borderId="176" xfId="0" applyNumberFormat="1" applyFont="1" applyFill="1" applyBorder="1" applyAlignment="1" applyProtection="1">
      <alignment horizontal="center"/>
    </xf>
    <xf numFmtId="0" fontId="17" fillId="9" borderId="171" xfId="6" applyFont="1" applyFill="1" applyBorder="1" applyAlignment="1" applyProtection="1">
      <alignment horizontal="center"/>
    </xf>
    <xf numFmtId="9" fontId="17" fillId="9" borderId="171" xfId="6" quotePrefix="1" applyNumberFormat="1" applyFont="1" applyFill="1" applyBorder="1" applyAlignment="1" applyProtection="1">
      <alignment horizontal="center"/>
    </xf>
    <xf numFmtId="9" fontId="60" fillId="9" borderId="171" xfId="6" applyNumberFormat="1" applyFont="1" applyFill="1" applyBorder="1" applyAlignment="1" applyProtection="1">
      <alignment horizontal="center"/>
    </xf>
    <xf numFmtId="9" fontId="60" fillId="9" borderId="172" xfId="6" applyNumberFormat="1" applyFont="1" applyFill="1" applyBorder="1" applyAlignment="1" applyProtection="1">
      <alignment horizontal="center"/>
    </xf>
    <xf numFmtId="0" fontId="0" fillId="9" borderId="169" xfId="0" applyFill="1" applyBorder="1" applyAlignment="1" applyProtection="1">
      <alignment horizontal="center"/>
    </xf>
    <xf numFmtId="0" fontId="0" fillId="9" borderId="161" xfId="0" applyFill="1" applyBorder="1" applyAlignment="1" applyProtection="1">
      <alignment horizontal="center"/>
    </xf>
    <xf numFmtId="0" fontId="0" fillId="9" borderId="162" xfId="0" applyFill="1" applyBorder="1" applyProtection="1"/>
    <xf numFmtId="0" fontId="0" fillId="9" borderId="164" xfId="0" applyFill="1" applyBorder="1" applyProtection="1"/>
    <xf numFmtId="0" fontId="17" fillId="9" borderId="170" xfId="6" applyFont="1" applyFill="1" applyBorder="1" applyAlignment="1" applyProtection="1">
      <alignment horizontal="center"/>
    </xf>
    <xf numFmtId="0" fontId="9" fillId="5" borderId="113" xfId="0" applyFont="1" applyFill="1" applyBorder="1" applyAlignment="1" applyProtection="1">
      <alignment horizontal="left" vertical="center" indent="1"/>
      <protection locked="0"/>
    </xf>
    <xf numFmtId="0" fontId="9" fillId="5" borderId="198" xfId="0" applyFont="1" applyFill="1" applyBorder="1" applyAlignment="1" applyProtection="1">
      <alignment horizontal="center" vertical="center"/>
      <protection locked="0"/>
    </xf>
    <xf numFmtId="0" fontId="9" fillId="5" borderId="65" xfId="0" applyFont="1" applyFill="1" applyBorder="1" applyAlignment="1" applyProtection="1">
      <alignment horizontal="center" vertical="center"/>
      <protection locked="0"/>
    </xf>
    <xf numFmtId="0" fontId="9" fillId="5" borderId="135" xfId="0" applyFont="1" applyFill="1" applyBorder="1" applyAlignment="1" applyProtection="1">
      <alignment horizontal="center" vertical="center"/>
      <protection locked="0"/>
    </xf>
    <xf numFmtId="0" fontId="9" fillId="5" borderId="34" xfId="0" applyFont="1" applyFill="1" applyBorder="1" applyAlignment="1" applyProtection="1">
      <alignment horizontal="center" vertical="center"/>
      <protection locked="0"/>
    </xf>
    <xf numFmtId="0" fontId="9" fillId="0" borderId="140" xfId="0" applyFont="1" applyFill="1" applyBorder="1" applyAlignment="1" applyProtection="1">
      <alignment horizontal="center" vertical="center"/>
      <protection locked="0"/>
    </xf>
    <xf numFmtId="0" fontId="9" fillId="21" borderId="90" xfId="0" applyFont="1" applyFill="1" applyBorder="1" applyAlignment="1" applyProtection="1">
      <alignment horizontal="center" vertical="center"/>
      <protection locked="0"/>
    </xf>
    <xf numFmtId="0" fontId="9" fillId="0" borderId="90" xfId="0" applyFont="1" applyFill="1" applyBorder="1" applyAlignment="1" applyProtection="1">
      <alignment horizontal="center" vertical="center"/>
      <protection locked="0"/>
    </xf>
    <xf numFmtId="0" fontId="9" fillId="0" borderId="141" xfId="0" applyFont="1" applyFill="1" applyBorder="1" applyAlignment="1" applyProtection="1">
      <alignment horizontal="center" vertical="center"/>
      <protection locked="0"/>
    </xf>
    <xf numFmtId="0" fontId="9" fillId="0" borderId="142" xfId="0" applyFont="1" applyFill="1" applyBorder="1" applyAlignment="1" applyProtection="1">
      <alignment horizontal="center" vertical="center"/>
      <protection locked="0"/>
    </xf>
    <xf numFmtId="0" fontId="9" fillId="21" borderId="32"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9" fillId="0" borderId="143" xfId="0" applyFont="1" applyFill="1" applyBorder="1" applyAlignment="1" applyProtection="1">
      <alignment horizontal="center" vertical="center"/>
      <protection locked="0"/>
    </xf>
    <xf numFmtId="0" fontId="55" fillId="5" borderId="32" xfId="0" applyFont="1" applyFill="1" applyBorder="1" applyAlignment="1" applyProtection="1">
      <alignment horizontal="center" vertical="center"/>
      <protection locked="0"/>
    </xf>
    <xf numFmtId="0" fontId="9" fillId="5" borderId="142" xfId="0" applyFont="1" applyFill="1" applyBorder="1" applyAlignment="1" applyProtection="1">
      <alignment horizontal="center" vertical="center"/>
      <protection locked="0"/>
    </xf>
    <xf numFmtId="0" fontId="9" fillId="27" borderId="32" xfId="0" applyFont="1" applyFill="1" applyBorder="1" applyAlignment="1" applyProtection="1">
      <alignment horizontal="center" vertical="center"/>
      <protection locked="0"/>
    </xf>
    <xf numFmtId="0" fontId="9" fillId="0" borderId="144" xfId="0" applyFont="1" applyFill="1" applyBorder="1" applyAlignment="1" applyProtection="1">
      <alignment horizontal="center" vertical="center"/>
      <protection locked="0"/>
    </xf>
    <xf numFmtId="0" fontId="9" fillId="0" borderId="145" xfId="0" applyFont="1" applyFill="1" applyBorder="1" applyAlignment="1" applyProtection="1">
      <alignment horizontal="center" vertical="center"/>
      <protection locked="0"/>
    </xf>
    <xf numFmtId="0" fontId="9" fillId="27" borderId="145" xfId="0" applyFont="1" applyFill="1" applyBorder="1" applyAlignment="1" applyProtection="1">
      <alignment horizontal="center" vertical="center"/>
      <protection locked="0"/>
    </xf>
    <xf numFmtId="0" fontId="9" fillId="0" borderId="146"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protection locked="0"/>
    </xf>
    <xf numFmtId="0" fontId="9" fillId="28" borderId="11" xfId="0" applyFont="1" applyFill="1" applyBorder="1" applyAlignment="1" applyProtection="1">
      <alignment horizontal="center"/>
      <protection locked="0"/>
    </xf>
    <xf numFmtId="0" fontId="9" fillId="5" borderId="11" xfId="0" applyFont="1" applyFill="1" applyBorder="1" applyAlignment="1" applyProtection="1">
      <alignment horizontal="left"/>
      <protection locked="0"/>
    </xf>
    <xf numFmtId="0" fontId="13" fillId="7" borderId="0" xfId="0" applyFont="1" applyFill="1" applyBorder="1" applyAlignment="1" applyProtection="1">
      <alignment horizontal="left"/>
      <protection locked="0"/>
    </xf>
    <xf numFmtId="0" fontId="6" fillId="2" borderId="0" xfId="0" applyFont="1" applyFill="1" applyAlignment="1" applyProtection="1">
      <alignment horizontal="left"/>
      <protection locked="0"/>
    </xf>
    <xf numFmtId="0" fontId="15" fillId="5" borderId="0" xfId="0" applyFont="1" applyFill="1" applyBorder="1" applyAlignment="1" applyProtection="1">
      <protection locked="0"/>
    </xf>
    <xf numFmtId="0" fontId="6" fillId="2" borderId="0" xfId="0" applyFont="1" applyFill="1" applyAlignment="1" applyProtection="1">
      <alignment horizontal="center"/>
      <protection locked="0"/>
    </xf>
    <xf numFmtId="0" fontId="9" fillId="5" borderId="13" xfId="0" applyFont="1" applyFill="1" applyBorder="1" applyAlignment="1" applyProtection="1">
      <alignment horizontal="center"/>
      <protection locked="0"/>
    </xf>
    <xf numFmtId="0" fontId="6" fillId="0" borderId="17" xfId="0" applyFont="1" applyBorder="1" applyAlignment="1" applyProtection="1">
      <alignment horizontal="center"/>
    </xf>
    <xf numFmtId="0" fontId="6" fillId="0" borderId="8" xfId="0" applyFont="1" applyBorder="1" applyAlignment="1" applyProtection="1">
      <alignment horizontal="center"/>
    </xf>
    <xf numFmtId="0" fontId="58" fillId="0" borderId="0" xfId="0" applyFont="1" applyProtection="1"/>
    <xf numFmtId="0" fontId="6" fillId="0" borderId="22" xfId="0" applyFont="1" applyBorder="1" applyProtection="1"/>
    <xf numFmtId="0" fontId="6" fillId="0" borderId="22" xfId="0" applyFont="1" applyBorder="1" applyAlignment="1" applyProtection="1">
      <alignment horizontal="center" vertical="center"/>
    </xf>
    <xf numFmtId="0" fontId="6" fillId="0" borderId="28" xfId="0" applyFont="1" applyBorder="1" applyAlignment="1" applyProtection="1">
      <alignment horizontal="center" vertical="center"/>
    </xf>
    <xf numFmtId="0" fontId="0" fillId="0" borderId="0" xfId="0" applyAlignment="1" applyProtection="1">
      <alignment horizontal="left" wrapText="1"/>
    </xf>
    <xf numFmtId="0" fontId="6" fillId="0" borderId="22" xfId="0" applyFont="1" applyBorder="1" applyAlignment="1" applyProtection="1">
      <alignment horizontal="center" vertical="center" wrapText="1"/>
    </xf>
    <xf numFmtId="0" fontId="0" fillId="9" borderId="0" xfId="0" applyFill="1" applyAlignment="1" applyProtection="1">
      <alignment horizontal="left"/>
    </xf>
    <xf numFmtId="0" fontId="0" fillId="9" borderId="0" xfId="0" applyFill="1" applyAlignment="1" applyProtection="1">
      <alignment horizontal="left" wrapText="1"/>
    </xf>
    <xf numFmtId="0" fontId="2" fillId="0" borderId="42" xfId="0" applyFont="1" applyBorder="1" applyAlignment="1" applyProtection="1">
      <alignment horizontal="center" wrapText="1"/>
    </xf>
    <xf numFmtId="0" fontId="2" fillId="0" borderId="43" xfId="0" applyFont="1" applyBorder="1" applyAlignment="1" applyProtection="1">
      <alignment horizontal="center" wrapText="1"/>
    </xf>
    <xf numFmtId="0" fontId="6" fillId="0" borderId="0" xfId="0" applyFont="1" applyBorder="1" applyAlignment="1" applyProtection="1">
      <alignment horizontal="center" vertical="center" wrapText="1"/>
    </xf>
    <xf numFmtId="0" fontId="9" fillId="5" borderId="0" xfId="0" applyFont="1" applyFill="1" applyBorder="1" applyAlignment="1" applyProtection="1">
      <alignment horizontal="left" vertical="center" wrapText="1"/>
    </xf>
    <xf numFmtId="0" fontId="9" fillId="5" borderId="0" xfId="0" applyFont="1" applyFill="1" applyBorder="1" applyAlignment="1" applyProtection="1">
      <alignment horizontal="center" vertical="center" wrapText="1"/>
    </xf>
    <xf numFmtId="0" fontId="2" fillId="0" borderId="22" xfId="0" applyFont="1" applyBorder="1" applyProtection="1"/>
    <xf numFmtId="0" fontId="0" fillId="9" borderId="0" xfId="0" applyFill="1" applyAlignment="1" applyProtection="1">
      <alignment horizontal="center"/>
    </xf>
    <xf numFmtId="0" fontId="0" fillId="9" borderId="0" xfId="0" applyFont="1" applyFill="1" applyProtection="1"/>
    <xf numFmtId="0" fontId="9" fillId="16" borderId="157" xfId="0" applyFont="1" applyFill="1" applyBorder="1" applyAlignment="1" applyProtection="1">
      <alignment horizontal="center"/>
    </xf>
    <xf numFmtId="0" fontId="0" fillId="9" borderId="113" xfId="0" applyFill="1" applyBorder="1" applyAlignment="1" applyProtection="1">
      <alignment horizontal="center"/>
    </xf>
    <xf numFmtId="0" fontId="5" fillId="0" borderId="0" xfId="0" applyFont="1" applyBorder="1" applyProtection="1"/>
    <xf numFmtId="0" fontId="6" fillId="0" borderId="0" xfId="0" applyFont="1" applyBorder="1" applyAlignment="1" applyProtection="1">
      <alignment horizontal="left"/>
    </xf>
    <xf numFmtId="0" fontId="6" fillId="0" borderId="0" xfId="0" applyFont="1" applyBorder="1" applyAlignment="1" applyProtection="1">
      <alignment horizontal="right"/>
    </xf>
    <xf numFmtId="0" fontId="7" fillId="0" borderId="0" xfId="0" applyFont="1" applyBorder="1" applyProtection="1"/>
    <xf numFmtId="0" fontId="31" fillId="3" borderId="0" xfId="0" applyFont="1" applyFill="1" applyProtection="1"/>
    <xf numFmtId="0" fontId="16" fillId="2" borderId="22" xfId="0" applyFont="1" applyFill="1" applyBorder="1" applyAlignment="1" applyProtection="1">
      <alignment horizontal="center" vertical="center"/>
    </xf>
    <xf numFmtId="0" fontId="16" fillId="2" borderId="22" xfId="0" applyFont="1" applyFill="1" applyBorder="1" applyAlignment="1" applyProtection="1">
      <alignment horizontal="center" vertical="center" wrapText="1"/>
    </xf>
    <xf numFmtId="0" fontId="16" fillId="2" borderId="75" xfId="0" applyFont="1" applyFill="1" applyBorder="1" applyAlignment="1" applyProtection="1">
      <alignment horizontal="center" vertical="center" wrapText="1"/>
    </xf>
    <xf numFmtId="0" fontId="13" fillId="16" borderId="68" xfId="0" applyFont="1" applyFill="1" applyBorder="1" applyAlignment="1" applyProtection="1">
      <alignment horizontal="center" vertical="center"/>
    </xf>
    <xf numFmtId="0" fontId="6" fillId="0" borderId="75" xfId="0" applyFont="1" applyBorder="1" applyAlignment="1" applyProtection="1">
      <alignment horizontal="center" vertical="center"/>
    </xf>
    <xf numFmtId="0" fontId="13" fillId="16" borderId="44"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165" fontId="6" fillId="20" borderId="22" xfId="0" applyNumberFormat="1" applyFont="1" applyFill="1" applyBorder="1" applyAlignment="1" applyProtection="1">
      <alignment horizontal="center" vertical="center"/>
    </xf>
    <xf numFmtId="167" fontId="6" fillId="20" borderId="22" xfId="0" applyNumberFormat="1" applyFont="1" applyFill="1" applyBorder="1" applyAlignment="1" applyProtection="1">
      <alignment horizontal="center" vertical="center"/>
    </xf>
    <xf numFmtId="0" fontId="6" fillId="20" borderId="22" xfId="0" applyFont="1" applyFill="1" applyBorder="1" applyAlignment="1" applyProtection="1">
      <alignment horizontal="center" vertical="center"/>
    </xf>
    <xf numFmtId="167" fontId="6" fillId="20" borderId="89" xfId="0" applyNumberFormat="1" applyFont="1" applyFill="1" applyBorder="1" applyAlignment="1" applyProtection="1">
      <alignment horizontal="center" vertical="center"/>
    </xf>
    <xf numFmtId="1" fontId="6" fillId="20" borderId="89" xfId="0" applyNumberFormat="1" applyFont="1" applyFill="1" applyBorder="1" applyAlignment="1" applyProtection="1">
      <alignment horizontal="center" vertical="center"/>
    </xf>
    <xf numFmtId="0" fontId="6" fillId="2" borderId="17" xfId="0" applyFont="1" applyFill="1" applyBorder="1" applyProtection="1"/>
    <xf numFmtId="0" fontId="6" fillId="2" borderId="8" xfId="0" applyFont="1" applyFill="1" applyBorder="1" applyProtection="1"/>
    <xf numFmtId="167" fontId="6" fillId="20" borderId="22" xfId="0" applyNumberFormat="1" applyFont="1" applyFill="1" applyBorder="1" applyAlignment="1" applyProtection="1">
      <alignment horizontal="center"/>
    </xf>
    <xf numFmtId="168" fontId="6" fillId="0" borderId="0" xfId="0" applyNumberFormat="1" applyFont="1" applyBorder="1" applyAlignment="1" applyProtection="1">
      <alignment horizontal="center" vertical="center"/>
    </xf>
    <xf numFmtId="0" fontId="0" fillId="2" borderId="16" xfId="0" applyFill="1" applyBorder="1" applyProtection="1"/>
    <xf numFmtId="0" fontId="0" fillId="2" borderId="18" xfId="0" applyFill="1" applyBorder="1" applyProtection="1"/>
    <xf numFmtId="165" fontId="6" fillId="20" borderId="22" xfId="0" applyNumberFormat="1" applyFont="1" applyFill="1" applyBorder="1" applyAlignment="1" applyProtection="1">
      <alignment horizontal="center"/>
    </xf>
    <xf numFmtId="2" fontId="6" fillId="20" borderId="22" xfId="0" applyNumberFormat="1" applyFont="1" applyFill="1" applyBorder="1" applyAlignment="1" applyProtection="1">
      <alignment horizontal="center" vertical="center"/>
    </xf>
    <xf numFmtId="169" fontId="6" fillId="20" borderId="22" xfId="2" applyNumberFormat="1" applyFont="1" applyFill="1" applyBorder="1" applyAlignment="1" applyProtection="1">
      <alignment horizontal="center"/>
    </xf>
    <xf numFmtId="0" fontId="0" fillId="2" borderId="70" xfId="0" applyFill="1" applyBorder="1" applyProtection="1"/>
    <xf numFmtId="0" fontId="0" fillId="2" borderId="71" xfId="0" applyFill="1" applyBorder="1" applyProtection="1"/>
    <xf numFmtId="0" fontId="0" fillId="2" borderId="19" xfId="0" applyFill="1" applyBorder="1" applyProtection="1"/>
    <xf numFmtId="0" fontId="0" fillId="2" borderId="20" xfId="0" applyFill="1" applyBorder="1" applyProtection="1"/>
    <xf numFmtId="1" fontId="6" fillId="20" borderId="22" xfId="0" applyNumberFormat="1" applyFont="1" applyFill="1" applyBorder="1" applyAlignment="1" applyProtection="1">
      <alignment horizontal="center"/>
    </xf>
    <xf numFmtId="169" fontId="6" fillId="20" borderId="22" xfId="2" applyNumberFormat="1" applyFont="1" applyFill="1" applyBorder="1" applyAlignment="1" applyProtection="1">
      <alignment horizontal="center" vertical="center"/>
    </xf>
    <xf numFmtId="0" fontId="0" fillId="2" borderId="0" xfId="0" applyFill="1" applyBorder="1" applyProtection="1"/>
    <xf numFmtId="0" fontId="32" fillId="0" borderId="0" xfId="0" applyFont="1" applyBorder="1" applyAlignment="1" applyProtection="1">
      <alignment horizontal="left" vertical="center"/>
    </xf>
    <xf numFmtId="1" fontId="32" fillId="0" borderId="0" xfId="0" applyNumberFormat="1" applyFont="1" applyBorder="1" applyAlignment="1" applyProtection="1">
      <alignment horizontal="center"/>
    </xf>
    <xf numFmtId="1" fontId="32" fillId="0" borderId="0" xfId="0" applyNumberFormat="1" applyFont="1" applyBorder="1" applyAlignment="1" applyProtection="1">
      <alignment horizontal="center" vertical="center"/>
    </xf>
    <xf numFmtId="169" fontId="32" fillId="0" borderId="0" xfId="2" applyNumberFormat="1" applyFont="1" applyBorder="1" applyAlignment="1" applyProtection="1">
      <alignment horizontal="center" vertical="center"/>
    </xf>
    <xf numFmtId="0" fontId="6" fillId="0" borderId="69" xfId="0" applyFont="1" applyBorder="1" applyAlignment="1" applyProtection="1">
      <alignment horizontal="center" vertical="center"/>
    </xf>
    <xf numFmtId="169" fontId="6" fillId="0" borderId="0" xfId="2" applyNumberFormat="1" applyFont="1" applyBorder="1" applyAlignment="1" applyProtection="1">
      <alignment horizontal="center" vertical="center"/>
    </xf>
    <xf numFmtId="0" fontId="39" fillId="5" borderId="0" xfId="3" applyFont="1" applyFill="1" applyBorder="1" applyAlignment="1" applyProtection="1">
      <alignment horizontal="center"/>
    </xf>
    <xf numFmtId="0" fontId="39" fillId="5" borderId="0" xfId="3" applyFont="1" applyFill="1" applyBorder="1" applyAlignment="1" applyProtection="1"/>
    <xf numFmtId="0" fontId="40" fillId="5" borderId="0" xfId="3" applyFont="1" applyFill="1" applyBorder="1" applyAlignment="1" applyProtection="1">
      <alignment horizontal="center"/>
    </xf>
    <xf numFmtId="0" fontId="40" fillId="5" borderId="0" xfId="3" applyFont="1" applyFill="1" applyBorder="1" applyAlignment="1" applyProtection="1"/>
    <xf numFmtId="0" fontId="18" fillId="9" borderId="0" xfId="3" applyFont="1" applyFill="1" applyProtection="1"/>
    <xf numFmtId="0" fontId="18" fillId="6" borderId="0" xfId="3" applyFont="1" applyFill="1" applyBorder="1" applyProtection="1"/>
    <xf numFmtId="0" fontId="29" fillId="6" borderId="0" xfId="3" applyFont="1" applyFill="1" applyBorder="1" applyAlignment="1" applyProtection="1"/>
    <xf numFmtId="0" fontId="27" fillId="9" borderId="0" xfId="3" applyFont="1" applyFill="1" applyProtection="1"/>
    <xf numFmtId="0" fontId="27" fillId="6" borderId="0" xfId="3" applyFont="1" applyFill="1" applyBorder="1" applyProtection="1"/>
    <xf numFmtId="0" fontId="9" fillId="6" borderId="0" xfId="3" applyFont="1" applyFill="1" applyBorder="1" applyProtection="1"/>
    <xf numFmtId="0" fontId="9" fillId="16" borderId="98" xfId="3" applyFont="1" applyFill="1" applyBorder="1" applyAlignment="1" applyProtection="1">
      <alignment horizontal="center" vertical="center"/>
    </xf>
    <xf numFmtId="0" fontId="9" fillId="16" borderId="96" xfId="3" applyFont="1" applyFill="1" applyBorder="1" applyAlignment="1" applyProtection="1">
      <alignment horizontal="center" vertical="center"/>
    </xf>
    <xf numFmtId="0" fontId="9" fillId="16" borderId="99" xfId="3" applyFont="1" applyFill="1" applyBorder="1" applyAlignment="1" applyProtection="1">
      <alignment horizontal="center" vertical="center"/>
    </xf>
    <xf numFmtId="0" fontId="27" fillId="16" borderId="100" xfId="3" applyFont="1" applyFill="1" applyBorder="1" applyAlignment="1" applyProtection="1">
      <alignment horizontal="center" vertical="center"/>
    </xf>
    <xf numFmtId="0" fontId="9" fillId="16" borderId="100" xfId="3" applyFont="1" applyFill="1" applyBorder="1" applyAlignment="1" applyProtection="1">
      <alignment horizontal="center" vertical="center"/>
    </xf>
    <xf numFmtId="0" fontId="9" fillId="16" borderId="101" xfId="3" applyFont="1" applyFill="1" applyBorder="1" applyAlignment="1" applyProtection="1">
      <alignment horizontal="center" vertical="center"/>
    </xf>
    <xf numFmtId="0" fontId="9" fillId="16" borderId="20" xfId="3" applyFont="1" applyFill="1" applyBorder="1" applyAlignment="1" applyProtection="1">
      <alignment horizontal="center" vertical="center"/>
    </xf>
    <xf numFmtId="165" fontId="9" fillId="19" borderId="62" xfId="3" applyNumberFormat="1" applyFont="1" applyFill="1" applyBorder="1" applyAlignment="1" applyProtection="1">
      <alignment horizontal="center" vertical="center"/>
    </xf>
    <xf numFmtId="0" fontId="9" fillId="19" borderId="73" xfId="3" applyFont="1" applyFill="1" applyBorder="1" applyAlignment="1" applyProtection="1">
      <alignment horizontal="center" vertical="center"/>
    </xf>
    <xf numFmtId="0" fontId="9" fillId="16" borderId="6" xfId="3" applyFont="1" applyFill="1" applyBorder="1" applyAlignment="1" applyProtection="1">
      <alignment horizontal="center" vertical="center"/>
    </xf>
    <xf numFmtId="1" fontId="13" fillId="19" borderId="22" xfId="3" applyNumberFormat="1" applyFont="1" applyFill="1" applyBorder="1" applyAlignment="1" applyProtection="1">
      <alignment horizontal="center" vertical="center"/>
    </xf>
    <xf numFmtId="1" fontId="13" fillId="16" borderId="22" xfId="3" applyNumberFormat="1" applyFont="1" applyFill="1" applyBorder="1" applyAlignment="1" applyProtection="1">
      <alignment horizontal="center" vertical="center"/>
    </xf>
    <xf numFmtId="165" fontId="13" fillId="19" borderId="22" xfId="3" applyNumberFormat="1" applyFont="1" applyFill="1" applyBorder="1" applyAlignment="1" applyProtection="1">
      <alignment horizontal="center" vertical="center"/>
    </xf>
    <xf numFmtId="165" fontId="13" fillId="7" borderId="22" xfId="3" applyNumberFormat="1" applyFont="1" applyFill="1" applyBorder="1" applyAlignment="1" applyProtection="1">
      <alignment horizontal="center" vertical="center"/>
    </xf>
    <xf numFmtId="0" fontId="13" fillId="16" borderId="22" xfId="3" applyFont="1" applyFill="1" applyBorder="1" applyAlignment="1" applyProtection="1">
      <alignment horizontal="center" vertical="center"/>
    </xf>
    <xf numFmtId="0" fontId="9" fillId="7" borderId="105" xfId="3" applyFont="1" applyFill="1" applyBorder="1" applyProtection="1"/>
    <xf numFmtId="0" fontId="9" fillId="7" borderId="20" xfId="3" applyFont="1" applyFill="1" applyBorder="1" applyProtection="1"/>
    <xf numFmtId="0" fontId="25" fillId="5" borderId="0" xfId="4" applyFont="1" applyFill="1" applyBorder="1" applyAlignment="1" applyProtection="1">
      <alignment horizontal="left"/>
    </xf>
    <xf numFmtId="0" fontId="22" fillId="5" borderId="0" xfId="3" applyFont="1" applyFill="1" applyBorder="1" applyProtection="1"/>
    <xf numFmtId="0" fontId="42" fillId="5" borderId="0" xfId="3" applyFont="1" applyFill="1" applyBorder="1" applyAlignment="1" applyProtection="1">
      <alignment horizontal="center" vertical="center"/>
    </xf>
    <xf numFmtId="0" fontId="29" fillId="5" borderId="0" xfId="3" applyFont="1" applyFill="1" applyBorder="1" applyAlignment="1" applyProtection="1">
      <alignment horizontal="center" vertical="center"/>
    </xf>
    <xf numFmtId="0" fontId="13" fillId="5" borderId="0" xfId="3" applyFont="1" applyFill="1" applyBorder="1" applyAlignment="1" applyProtection="1">
      <alignment horizontal="center" vertical="center"/>
    </xf>
    <xf numFmtId="0" fontId="20" fillId="4" borderId="0" xfId="3" applyFont="1" applyFill="1" applyBorder="1" applyAlignment="1" applyProtection="1">
      <alignment horizontal="center" vertical="center"/>
    </xf>
    <xf numFmtId="0" fontId="9" fillId="16" borderId="154" xfId="3" applyFont="1" applyFill="1" applyBorder="1" applyAlignment="1" applyProtection="1">
      <alignment horizontal="center" vertical="center"/>
    </xf>
    <xf numFmtId="0" fontId="9" fillId="16" borderId="68" xfId="3" applyFont="1" applyFill="1" applyBorder="1" applyAlignment="1" applyProtection="1">
      <alignment horizontal="center" vertical="center"/>
    </xf>
    <xf numFmtId="0" fontId="13" fillId="4" borderId="0" xfId="3" applyFont="1" applyFill="1" applyBorder="1" applyAlignment="1" applyProtection="1">
      <alignment horizontal="center" vertical="center"/>
    </xf>
    <xf numFmtId="0" fontId="41" fillId="5" borderId="0" xfId="3" applyFont="1" applyFill="1" applyBorder="1" applyProtection="1"/>
    <xf numFmtId="0" fontId="9" fillId="16" borderId="8" xfId="3" applyFont="1" applyFill="1" applyBorder="1" applyAlignment="1" applyProtection="1">
      <alignment horizontal="center" vertical="center"/>
    </xf>
    <xf numFmtId="0" fontId="27" fillId="16" borderId="99" xfId="3" applyFont="1" applyFill="1" applyBorder="1" applyAlignment="1" applyProtection="1">
      <alignment horizontal="center" vertical="center"/>
    </xf>
    <xf numFmtId="0" fontId="9" fillId="5" borderId="11" xfId="3" applyFont="1" applyFill="1" applyBorder="1" applyAlignment="1" applyProtection="1">
      <alignment horizontal="center" vertical="center"/>
    </xf>
    <xf numFmtId="0" fontId="9" fillId="7" borderId="0" xfId="3" applyFont="1" applyFill="1" applyBorder="1" applyProtection="1"/>
    <xf numFmtId="165" fontId="9" fillId="19" borderId="21" xfId="3" applyNumberFormat="1" applyFont="1" applyFill="1" applyBorder="1" applyAlignment="1" applyProtection="1">
      <alignment horizontal="center" vertical="center"/>
    </xf>
    <xf numFmtId="0" fontId="9" fillId="19" borderId="68" xfId="3" applyFont="1" applyFill="1" applyBorder="1" applyAlignment="1" applyProtection="1">
      <alignment horizontal="center" vertical="center"/>
    </xf>
    <xf numFmtId="0" fontId="43" fillId="5" borderId="0" xfId="3" applyFont="1" applyFill="1" applyBorder="1" applyProtection="1"/>
    <xf numFmtId="1" fontId="9" fillId="5" borderId="0" xfId="3" applyNumberFormat="1" applyFont="1" applyFill="1" applyBorder="1" applyAlignment="1" applyProtection="1">
      <alignment horizontal="center" vertical="center"/>
    </xf>
    <xf numFmtId="165" fontId="9" fillId="5" borderId="188" xfId="3" applyNumberFormat="1" applyFont="1" applyFill="1" applyBorder="1" applyAlignment="1" applyProtection="1">
      <alignment vertical="center"/>
    </xf>
    <xf numFmtId="165" fontId="9" fillId="5" borderId="0" xfId="3" applyNumberFormat="1" applyFont="1" applyFill="1" applyBorder="1" applyAlignment="1" applyProtection="1">
      <alignment vertical="center"/>
    </xf>
    <xf numFmtId="49" fontId="17" fillId="5" borderId="0" xfId="3" applyNumberFormat="1" applyFont="1" applyFill="1" applyBorder="1" applyProtection="1"/>
    <xf numFmtId="0" fontId="17" fillId="25" borderId="0" xfId="3" applyFont="1" applyFill="1" applyBorder="1" applyAlignment="1" applyProtection="1">
      <alignment horizontal="center"/>
    </xf>
    <xf numFmtId="0" fontId="17" fillId="5" borderId="0" xfId="3" applyFont="1" applyFill="1" applyBorder="1" applyAlignment="1" applyProtection="1"/>
    <xf numFmtId="0" fontId="17" fillId="5" borderId="0" xfId="3" applyNumberFormat="1" applyFont="1" applyFill="1" applyBorder="1" applyAlignment="1" applyProtection="1"/>
    <xf numFmtId="0" fontId="9" fillId="5" borderId="63" xfId="3" applyFont="1" applyFill="1" applyBorder="1" applyAlignment="1" applyProtection="1">
      <alignment horizontal="center" vertical="center"/>
      <protection locked="0"/>
    </xf>
    <xf numFmtId="0" fontId="9" fillId="5" borderId="27" xfId="3" applyFont="1" applyFill="1" applyBorder="1" applyAlignment="1" applyProtection="1">
      <alignment horizontal="center" vertical="center"/>
      <protection locked="0"/>
    </xf>
    <xf numFmtId="0" fontId="6" fillId="27" borderId="113" xfId="0" applyFont="1" applyFill="1" applyBorder="1" applyAlignment="1" applyProtection="1">
      <alignment horizontal="center"/>
      <protection locked="0"/>
    </xf>
    <xf numFmtId="0" fontId="0" fillId="0" borderId="0" xfId="0" applyAlignment="1" applyProtection="1">
      <alignment horizontal="center" vertical="center"/>
      <protection locked="0"/>
    </xf>
    <xf numFmtId="0" fontId="9" fillId="19" borderId="11" xfId="0" applyFont="1" applyFill="1" applyBorder="1" applyAlignment="1" applyProtection="1">
      <alignment horizontal="center"/>
      <protection locked="0"/>
    </xf>
    <xf numFmtId="0" fontId="6" fillId="29" borderId="22" xfId="0" applyFont="1" applyFill="1" applyBorder="1" applyAlignment="1" applyProtection="1">
      <alignment horizontal="center" vertical="center"/>
      <protection locked="0"/>
    </xf>
    <xf numFmtId="0" fontId="32" fillId="0" borderId="0" xfId="0" applyFont="1" applyProtection="1"/>
    <xf numFmtId="0" fontId="9" fillId="19" borderId="159" xfId="3" applyFont="1" applyFill="1" applyBorder="1" applyAlignment="1" applyProtection="1">
      <alignment horizontal="center"/>
      <protection locked="0"/>
    </xf>
    <xf numFmtId="0" fontId="25" fillId="5" borderId="0" xfId="0" applyFont="1" applyFill="1" applyBorder="1" applyProtection="1"/>
    <xf numFmtId="0" fontId="9" fillId="8" borderId="113" xfId="0" applyFont="1" applyFill="1" applyBorder="1" applyAlignment="1" applyProtection="1"/>
    <xf numFmtId="0" fontId="9" fillId="5" borderId="113" xfId="0" applyFont="1" applyFill="1" applyBorder="1" applyAlignment="1" applyProtection="1"/>
    <xf numFmtId="0" fontId="13" fillId="5" borderId="113" xfId="0" applyFont="1" applyFill="1" applyBorder="1" applyAlignment="1" applyProtection="1">
      <alignment vertical="center"/>
    </xf>
    <xf numFmtId="0" fontId="25" fillId="5" borderId="113" xfId="0" applyFont="1" applyFill="1" applyBorder="1" applyAlignment="1" applyProtection="1">
      <alignment horizontal="right" vertical="center"/>
    </xf>
    <xf numFmtId="0" fontId="9" fillId="16" borderId="114" xfId="0" applyFont="1" applyFill="1" applyBorder="1" applyAlignment="1" applyProtection="1">
      <alignment horizontal="left" indent="1"/>
    </xf>
    <xf numFmtId="0" fontId="0" fillId="2" borderId="187" xfId="0" applyFill="1" applyBorder="1" applyProtection="1">
      <protection locked="0"/>
    </xf>
    <xf numFmtId="0" fontId="6" fillId="0" borderId="0" xfId="0" applyFont="1" applyAlignment="1" applyProtection="1">
      <alignment horizontal="right"/>
    </xf>
    <xf numFmtId="0" fontId="6" fillId="23" borderId="130" xfId="0" applyFont="1" applyFill="1" applyBorder="1" applyAlignment="1" applyProtection="1">
      <alignment horizontal="center"/>
      <protection locked="0"/>
    </xf>
    <xf numFmtId="0" fontId="57" fillId="0" borderId="0" xfId="0" applyFont="1" applyProtection="1"/>
    <xf numFmtId="2" fontId="0" fillId="20" borderId="159" xfId="0" applyNumberFormat="1" applyFill="1" applyBorder="1" applyAlignment="1" applyProtection="1">
      <alignment horizontal="center"/>
    </xf>
    <xf numFmtId="49" fontId="9" fillId="21" borderId="159" xfId="4" applyNumberFormat="1" applyFont="1" applyFill="1" applyBorder="1" applyAlignment="1" applyProtection="1">
      <alignment horizontal="center"/>
      <protection locked="0"/>
    </xf>
    <xf numFmtId="0" fontId="27" fillId="6" borderId="0" xfId="0" applyFont="1" applyFill="1" applyBorder="1" applyAlignment="1" applyProtection="1"/>
    <xf numFmtId="0" fontId="26" fillId="30" borderId="0" xfId="0" applyFont="1" applyFill="1" applyBorder="1" applyAlignment="1" applyProtection="1">
      <alignment horizontal="right"/>
    </xf>
    <xf numFmtId="0" fontId="26" fillId="30" borderId="0" xfId="0" applyFont="1" applyFill="1" applyBorder="1" applyAlignment="1" applyProtection="1"/>
    <xf numFmtId="0" fontId="33" fillId="2" borderId="22" xfId="0" applyFont="1" applyFill="1" applyBorder="1" applyAlignment="1" applyProtection="1">
      <alignment horizontal="center" vertical="center"/>
    </xf>
    <xf numFmtId="0" fontId="6" fillId="2" borderId="22" xfId="0" applyFont="1" applyFill="1" applyBorder="1" applyAlignment="1" applyProtection="1">
      <alignment horizontal="center" wrapText="1"/>
    </xf>
    <xf numFmtId="0" fontId="6" fillId="2" borderId="107" xfId="0" applyFont="1" applyFill="1" applyBorder="1" applyAlignment="1" applyProtection="1">
      <alignment horizontal="center" vertical="center"/>
    </xf>
    <xf numFmtId="0" fontId="9" fillId="5" borderId="205" xfId="0" applyFont="1" applyFill="1" applyBorder="1" applyAlignment="1" applyProtection="1">
      <alignment horizontal="center"/>
      <protection locked="0"/>
    </xf>
    <xf numFmtId="167" fontId="6" fillId="20" borderId="111" xfId="0" applyNumberFormat="1" applyFont="1" applyFill="1" applyBorder="1" applyAlignment="1" applyProtection="1">
      <alignment horizontal="center"/>
    </xf>
    <xf numFmtId="0" fontId="9" fillId="13" borderId="200" xfId="0" applyFont="1" applyFill="1" applyBorder="1" applyAlignment="1" applyProtection="1">
      <alignment horizontal="center"/>
      <protection locked="0"/>
    </xf>
    <xf numFmtId="0" fontId="9" fillId="13" borderId="200" xfId="0" applyFont="1" applyFill="1" applyBorder="1" applyAlignment="1" applyProtection="1">
      <alignment horizontal="center" vertical="top"/>
      <protection locked="0"/>
    </xf>
    <xf numFmtId="0" fontId="9" fillId="5" borderId="204" xfId="0" applyFont="1" applyFill="1" applyBorder="1" applyAlignment="1" applyProtection="1">
      <alignment horizontal="center"/>
      <protection locked="0"/>
    </xf>
    <xf numFmtId="0" fontId="9" fillId="5" borderId="111"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0" fontId="9" fillId="16" borderId="113" xfId="0" applyFont="1" applyFill="1" applyBorder="1" applyAlignment="1" applyProtection="1">
      <alignment horizontal="center"/>
    </xf>
    <xf numFmtId="0" fontId="9" fillId="16" borderId="151" xfId="0" applyFont="1" applyFill="1" applyBorder="1" applyAlignment="1" applyProtection="1">
      <alignment horizontal="center" vertical="center"/>
    </xf>
    <xf numFmtId="0" fontId="9" fillId="16" borderId="22" xfId="0" applyFont="1" applyFill="1" applyBorder="1" applyAlignment="1" applyProtection="1">
      <alignment horizontal="center"/>
    </xf>
    <xf numFmtId="0" fontId="9" fillId="16" borderId="73" xfId="0" applyFont="1" applyFill="1" applyBorder="1" applyAlignment="1" applyProtection="1">
      <alignment horizontal="center" vertical="center"/>
    </xf>
    <xf numFmtId="0" fontId="9" fillId="16" borderId="156" xfId="0" applyFont="1" applyFill="1" applyBorder="1" applyAlignment="1" applyProtection="1">
      <alignment horizontal="center" vertical="center"/>
    </xf>
    <xf numFmtId="0" fontId="9" fillId="16" borderId="44" xfId="0" applyFont="1" applyFill="1" applyBorder="1" applyAlignment="1" applyProtection="1">
      <alignment horizontal="center" vertical="center"/>
    </xf>
    <xf numFmtId="0" fontId="9" fillId="16" borderId="59" xfId="0" applyFont="1" applyFill="1" applyBorder="1" applyAlignment="1" applyProtection="1">
      <alignment horizontal="center" vertical="center"/>
    </xf>
    <xf numFmtId="0" fontId="9" fillId="16" borderId="62" xfId="0" applyFont="1" applyFill="1" applyBorder="1" applyAlignment="1" applyProtection="1">
      <alignment horizontal="center" vertical="center"/>
    </xf>
    <xf numFmtId="0" fontId="9" fillId="16" borderId="11" xfId="0" applyFont="1" applyFill="1" applyBorder="1" applyAlignment="1" applyProtection="1">
      <alignment horizontal="center" vertical="center"/>
    </xf>
    <xf numFmtId="0" fontId="9" fillId="16" borderId="63" xfId="0" applyFont="1" applyFill="1" applyBorder="1" applyAlignment="1" applyProtection="1">
      <alignment horizontal="center" vertical="center"/>
    </xf>
    <xf numFmtId="0" fontId="9" fillId="16" borderId="16" xfId="0" applyFont="1" applyFill="1" applyBorder="1" applyAlignment="1" applyProtection="1">
      <alignment horizontal="center" vertical="center"/>
    </xf>
    <xf numFmtId="0" fontId="9" fillId="16" borderId="70" xfId="0" applyFont="1" applyFill="1" applyBorder="1" applyAlignment="1" applyProtection="1">
      <alignment horizontal="center" vertical="center"/>
    </xf>
    <xf numFmtId="0" fontId="9" fillId="16" borderId="69" xfId="0" applyFont="1" applyFill="1" applyBorder="1" applyAlignment="1" applyProtection="1">
      <alignment horizontal="center"/>
    </xf>
    <xf numFmtId="0" fontId="9" fillId="5" borderId="75" xfId="0" applyFont="1" applyFill="1" applyBorder="1" applyAlignment="1" applyProtection="1">
      <alignment horizontal="center" vertical="center"/>
      <protection locked="0"/>
    </xf>
    <xf numFmtId="0" fontId="9" fillId="16" borderId="69" xfId="0" applyFont="1" applyFill="1" applyBorder="1" applyAlignment="1" applyProtection="1">
      <alignment horizontal="center" vertical="center"/>
    </xf>
    <xf numFmtId="0" fontId="6" fillId="11" borderId="85" xfId="0" applyFont="1" applyFill="1" applyBorder="1" applyAlignment="1" applyProtection="1">
      <alignment horizontal="center" vertical="center" wrapText="1"/>
    </xf>
    <xf numFmtId="0" fontId="9" fillId="16" borderId="60" xfId="3" applyFont="1" applyFill="1" applyBorder="1" applyAlignment="1" applyProtection="1">
      <alignment horizontal="center" vertical="center"/>
    </xf>
    <xf numFmtId="0" fontId="9" fillId="16" borderId="59" xfId="3" applyFont="1" applyFill="1" applyBorder="1" applyAlignment="1" applyProtection="1">
      <alignment horizontal="center" vertical="center"/>
    </xf>
    <xf numFmtId="0" fontId="9" fillId="16" borderId="102" xfId="3" applyFont="1" applyFill="1" applyBorder="1" applyAlignment="1" applyProtection="1">
      <alignment horizontal="center" vertical="center"/>
    </xf>
    <xf numFmtId="0" fontId="9" fillId="16" borderId="22" xfId="0" applyFont="1" applyFill="1" applyBorder="1" applyAlignment="1" applyProtection="1">
      <alignment horizontal="center" vertical="center"/>
    </xf>
    <xf numFmtId="0" fontId="9" fillId="16" borderId="112" xfId="0" applyFont="1" applyFill="1" applyBorder="1" applyAlignment="1" applyProtection="1">
      <alignment horizontal="center"/>
    </xf>
    <xf numFmtId="0" fontId="6" fillId="0" borderId="113" xfId="0" applyFont="1" applyBorder="1" applyAlignment="1" applyProtection="1">
      <alignment horizontal="center"/>
    </xf>
    <xf numFmtId="0" fontId="6" fillId="0" borderId="113" xfId="0" applyFont="1" applyBorder="1" applyAlignment="1" applyProtection="1">
      <alignment horizontal="center"/>
      <protection locked="0"/>
    </xf>
    <xf numFmtId="0" fontId="9" fillId="16" borderId="113" xfId="0" applyFont="1" applyFill="1" applyBorder="1" applyAlignment="1" applyProtection="1">
      <alignment horizontal="center" vertical="center" wrapText="1"/>
    </xf>
    <xf numFmtId="0" fontId="9" fillId="7" borderId="107" xfId="0" applyFont="1" applyFill="1" applyBorder="1" applyAlignment="1" applyProtection="1">
      <alignment horizontal="right"/>
    </xf>
    <xf numFmtId="0" fontId="32" fillId="0" borderId="0" xfId="0" applyFont="1" applyAlignment="1" applyProtection="1">
      <alignment horizontal="left"/>
    </xf>
    <xf numFmtId="165" fontId="9" fillId="5" borderId="205" xfId="1" applyNumberFormat="1" applyFont="1" applyFill="1" applyBorder="1" applyAlignment="1" applyProtection="1">
      <alignment horizontal="center" vertical="center"/>
      <protection locked="0"/>
    </xf>
    <xf numFmtId="0" fontId="9" fillId="16" borderId="113" xfId="0" applyFont="1" applyFill="1" applyBorder="1" applyAlignment="1" applyProtection="1">
      <alignment horizontal="center" vertical="center"/>
    </xf>
    <xf numFmtId="165" fontId="9" fillId="7" borderId="113" xfId="2" applyNumberFormat="1" applyFont="1" applyFill="1" applyBorder="1" applyAlignment="1" applyProtection="1">
      <alignment horizontal="center" vertical="center"/>
    </xf>
    <xf numFmtId="169" fontId="9" fillId="19" borderId="113" xfId="2" applyNumberFormat="1" applyFont="1" applyFill="1" applyBorder="1" applyAlignment="1" applyProtection="1">
      <alignment horizontal="center" vertical="center"/>
    </xf>
    <xf numFmtId="0" fontId="9" fillId="7" borderId="0" xfId="4" applyFont="1" applyFill="1" applyBorder="1" applyAlignment="1" applyProtection="1">
      <alignment horizontal="right"/>
    </xf>
    <xf numFmtId="0" fontId="9" fillId="7" borderId="113" xfId="4" applyFont="1" applyFill="1" applyBorder="1" applyAlignment="1" applyProtection="1">
      <alignment horizontal="right"/>
    </xf>
    <xf numFmtId="0" fontId="10" fillId="5" borderId="0" xfId="0" applyFont="1" applyFill="1" applyBorder="1" applyProtection="1"/>
    <xf numFmtId="0" fontId="4" fillId="2" borderId="5" xfId="0" applyFont="1" applyFill="1" applyBorder="1" applyProtection="1"/>
    <xf numFmtId="0" fontId="0" fillId="2" borderId="10" xfId="0" applyFill="1" applyBorder="1" applyProtection="1"/>
    <xf numFmtId="0" fontId="4" fillId="3" borderId="5" xfId="0" applyFont="1" applyFill="1" applyBorder="1" applyProtection="1"/>
    <xf numFmtId="0" fontId="0" fillId="3" borderId="10" xfId="0" applyFill="1" applyBorder="1" applyProtection="1"/>
    <xf numFmtId="0" fontId="58" fillId="3" borderId="5" xfId="0" applyFont="1" applyFill="1" applyBorder="1" applyProtection="1"/>
    <xf numFmtId="0" fontId="5" fillId="3" borderId="5" xfId="0" applyFont="1" applyFill="1" applyBorder="1" applyProtection="1"/>
    <xf numFmtId="0" fontId="6" fillId="3" borderId="0" xfId="0" applyFont="1" applyFill="1" applyBorder="1" applyProtection="1"/>
    <xf numFmtId="0" fontId="5" fillId="3" borderId="0" xfId="0" applyFont="1" applyFill="1" applyBorder="1" applyProtection="1"/>
    <xf numFmtId="0" fontId="9" fillId="5" borderId="13" xfId="0" applyFont="1" applyFill="1" applyBorder="1" applyAlignment="1" applyProtection="1"/>
    <xf numFmtId="0" fontId="9" fillId="5" borderId="15" xfId="0" applyFont="1" applyFill="1" applyBorder="1" applyAlignment="1" applyProtection="1"/>
    <xf numFmtId="0" fontId="6" fillId="0" borderId="113" xfId="0" applyFont="1" applyFill="1" applyBorder="1" applyAlignment="1" applyProtection="1">
      <alignment horizontal="center"/>
    </xf>
    <xf numFmtId="0" fontId="25" fillId="5" borderId="0" xfId="0" applyFont="1" applyFill="1" applyBorder="1" applyAlignment="1" applyProtection="1">
      <alignment horizontal="right"/>
    </xf>
    <xf numFmtId="0" fontId="5" fillId="0" borderId="17" xfId="0" applyFont="1" applyBorder="1" applyAlignment="1" applyProtection="1">
      <alignment horizontal="center"/>
    </xf>
    <xf numFmtId="0" fontId="5" fillId="0" borderId="8" xfId="0" applyFont="1" applyBorder="1" applyAlignment="1" applyProtection="1">
      <alignment horizontal="center"/>
    </xf>
    <xf numFmtId="0" fontId="14" fillId="4" borderId="0" xfId="0" applyFont="1" applyFill="1" applyBorder="1" applyAlignment="1" applyProtection="1"/>
    <xf numFmtId="0" fontId="9" fillId="4" borderId="0" xfId="0" applyFont="1" applyFill="1" applyBorder="1" applyAlignment="1" applyProtection="1"/>
    <xf numFmtId="0" fontId="10" fillId="5" borderId="0" xfId="0" applyFont="1" applyFill="1" applyBorder="1" applyAlignment="1" applyProtection="1"/>
    <xf numFmtId="0" fontId="13" fillId="5" borderId="0" xfId="0" applyFont="1" applyFill="1" applyBorder="1" applyAlignment="1" applyProtection="1">
      <alignment horizontal="left"/>
    </xf>
    <xf numFmtId="0" fontId="13" fillId="0" borderId="0" xfId="0" applyFont="1" applyBorder="1" applyProtection="1"/>
    <xf numFmtId="0" fontId="9" fillId="6" borderId="0" xfId="0" applyFont="1" applyFill="1" applyBorder="1" applyAlignment="1" applyProtection="1"/>
    <xf numFmtId="0" fontId="13" fillId="0" borderId="0" xfId="0" applyFont="1" applyProtection="1"/>
    <xf numFmtId="0" fontId="9" fillId="5" borderId="0" xfId="0" applyFont="1" applyFill="1" applyBorder="1" applyAlignment="1" applyProtection="1"/>
    <xf numFmtId="0" fontId="9" fillId="6" borderId="0" xfId="0" applyFont="1" applyFill="1" applyBorder="1" applyAlignment="1" applyProtection="1">
      <alignment horizontal="center"/>
    </xf>
    <xf numFmtId="0" fontId="9" fillId="6" borderId="0" xfId="0" applyFont="1" applyFill="1" applyBorder="1" applyAlignment="1" applyProtection="1">
      <alignment horizontal="left"/>
    </xf>
    <xf numFmtId="0" fontId="6" fillId="9" borderId="0" xfId="0" applyFont="1" applyFill="1" applyProtection="1"/>
    <xf numFmtId="0" fontId="10" fillId="6" borderId="0" xfId="0" applyFont="1" applyFill="1" applyBorder="1" applyAlignment="1" applyProtection="1"/>
    <xf numFmtId="0" fontId="10" fillId="5" borderId="0" xfId="0" applyFont="1" applyFill="1" applyBorder="1" applyAlignment="1" applyProtection="1">
      <alignment horizontal="right"/>
    </xf>
    <xf numFmtId="0" fontId="10" fillId="5" borderId="0" xfId="0" applyFont="1" applyFill="1" applyBorder="1" applyAlignment="1" applyProtection="1">
      <alignment horizontal="left"/>
    </xf>
    <xf numFmtId="0" fontId="15" fillId="5" borderId="0" xfId="0" applyFont="1" applyFill="1" applyBorder="1" applyAlignment="1" applyProtection="1">
      <alignment horizontal="left"/>
    </xf>
    <xf numFmtId="0" fontId="13" fillId="5" borderId="0" xfId="0" applyFont="1" applyFill="1" applyBorder="1" applyProtection="1"/>
    <xf numFmtId="0" fontId="10" fillId="5" borderId="0" xfId="0" applyFont="1" applyFill="1" applyBorder="1" applyAlignment="1" applyProtection="1">
      <alignment horizontal="center"/>
    </xf>
    <xf numFmtId="0" fontId="13" fillId="7" borderId="0" xfId="0" applyFont="1" applyFill="1" applyBorder="1" applyAlignment="1" applyProtection="1">
      <alignment horizontal="left"/>
    </xf>
    <xf numFmtId="0" fontId="6" fillId="2" borderId="0" xfId="0" applyFont="1" applyFill="1" applyProtection="1"/>
    <xf numFmtId="0" fontId="17" fillId="5" borderId="0" xfId="0" applyFont="1" applyFill="1" applyBorder="1" applyAlignment="1" applyProtection="1"/>
    <xf numFmtId="0" fontId="13" fillId="5" borderId="0" xfId="0" applyFont="1" applyFill="1" applyBorder="1" applyAlignment="1" applyProtection="1">
      <alignment horizontal="left"/>
      <protection locked="0"/>
    </xf>
    <xf numFmtId="0" fontId="18" fillId="19" borderId="113" xfId="0" applyFont="1" applyFill="1" applyBorder="1" applyAlignment="1" applyProtection="1">
      <alignment horizontal="center" vertical="center" wrapText="1"/>
      <protection locked="0"/>
    </xf>
    <xf numFmtId="0" fontId="6" fillId="9" borderId="0" xfId="0" applyFont="1" applyFill="1" applyAlignment="1" applyProtection="1">
      <alignment horizontal="left" vertical="center"/>
    </xf>
    <xf numFmtId="0" fontId="6" fillId="0" borderId="0" xfId="0" applyFont="1" applyAlignment="1" applyProtection="1">
      <alignment horizontal="center" vertical="center"/>
      <protection locked="0"/>
    </xf>
    <xf numFmtId="0" fontId="18" fillId="5" borderId="0" xfId="3" applyFont="1" applyFill="1" applyBorder="1" applyAlignment="1" applyProtection="1">
      <protection locked="0"/>
    </xf>
    <xf numFmtId="0" fontId="17" fillId="5" borderId="0" xfId="3" applyFont="1" applyFill="1" applyBorder="1" applyProtection="1">
      <protection locked="0"/>
    </xf>
    <xf numFmtId="0" fontId="9" fillId="5" borderId="0" xfId="3" applyFont="1" applyFill="1" applyBorder="1" applyProtection="1">
      <protection locked="0"/>
    </xf>
    <xf numFmtId="165" fontId="9" fillId="19" borderId="113" xfId="3" applyNumberFormat="1" applyFont="1" applyFill="1" applyBorder="1" applyAlignment="1" applyProtection="1">
      <alignment horizontal="center" vertical="center"/>
      <protection locked="0"/>
    </xf>
    <xf numFmtId="0" fontId="9" fillId="5" borderId="0" xfId="4" applyFont="1" applyFill="1" applyBorder="1" applyAlignment="1" applyProtection="1">
      <alignment horizontal="right"/>
      <protection locked="0"/>
    </xf>
    <xf numFmtId="165" fontId="9" fillId="4" borderId="22" xfId="3" applyNumberFormat="1" applyFont="1" applyFill="1" applyBorder="1" applyAlignment="1" applyProtection="1">
      <alignment horizontal="center" vertical="center"/>
      <protection locked="0"/>
    </xf>
    <xf numFmtId="0" fontId="9" fillId="4" borderId="68" xfId="3" applyFont="1" applyFill="1" applyBorder="1" applyAlignment="1" applyProtection="1">
      <alignment horizontal="center" vertical="center"/>
      <protection locked="0"/>
    </xf>
    <xf numFmtId="0" fontId="9" fillId="7" borderId="0" xfId="4" applyFont="1" applyFill="1" applyBorder="1" applyAlignment="1" applyProtection="1">
      <alignment horizontal="right"/>
      <protection locked="0"/>
    </xf>
    <xf numFmtId="0" fontId="9" fillId="5" borderId="11" xfId="3" applyFont="1" applyFill="1" applyBorder="1" applyAlignment="1" applyProtection="1">
      <alignment horizontal="center" vertical="center"/>
      <protection locked="0"/>
    </xf>
    <xf numFmtId="0" fontId="9" fillId="16" borderId="98" xfId="3" applyFont="1" applyFill="1" applyBorder="1" applyAlignment="1" applyProtection="1">
      <alignment horizontal="center" vertical="center"/>
      <protection locked="0"/>
    </xf>
    <xf numFmtId="0" fontId="17" fillId="4" borderId="0" xfId="4" applyFont="1" applyFill="1" applyBorder="1" applyAlignment="1" applyProtection="1">
      <alignment horizontal="center"/>
    </xf>
    <xf numFmtId="0" fontId="17" fillId="5" borderId="0" xfId="4" applyFont="1" applyFill="1" applyBorder="1" applyProtection="1"/>
    <xf numFmtId="0" fontId="17" fillId="5" borderId="0" xfId="4" applyFont="1" applyFill="1" applyBorder="1" applyAlignment="1" applyProtection="1">
      <alignment horizontal="center"/>
    </xf>
    <xf numFmtId="0" fontId="9" fillId="5" borderId="0" xfId="4" applyFont="1" applyFill="1" applyBorder="1" applyProtection="1"/>
    <xf numFmtId="0" fontId="14" fillId="5" borderId="0" xfId="4" applyFont="1" applyFill="1" applyBorder="1" applyAlignment="1" applyProtection="1"/>
    <xf numFmtId="0" fontId="15" fillId="5" borderId="0" xfId="4" applyFont="1" applyFill="1" applyBorder="1" applyAlignment="1" applyProtection="1"/>
    <xf numFmtId="0" fontId="39" fillId="4" borderId="0" xfId="4" applyFont="1" applyFill="1" applyBorder="1" applyAlignment="1" applyProtection="1">
      <alignment horizontal="center"/>
    </xf>
    <xf numFmtId="0" fontId="39" fillId="5" borderId="0" xfId="4" applyFont="1" applyFill="1" applyBorder="1" applyAlignment="1" applyProtection="1"/>
    <xf numFmtId="0" fontId="13" fillId="5" borderId="0" xfId="4" applyFont="1" applyFill="1" applyBorder="1" applyAlignment="1" applyProtection="1"/>
    <xf numFmtId="0" fontId="19" fillId="4" borderId="0" xfId="4" applyFont="1" applyFill="1" applyBorder="1" applyAlignment="1" applyProtection="1">
      <alignment horizontal="center"/>
    </xf>
    <xf numFmtId="0" fontId="19" fillId="5" borderId="0" xfId="4" applyFont="1" applyFill="1" applyBorder="1" applyAlignment="1" applyProtection="1"/>
    <xf numFmtId="0" fontId="23" fillId="4" borderId="0" xfId="4" applyFont="1" applyFill="1" applyBorder="1" applyAlignment="1" applyProtection="1">
      <alignment horizontal="center"/>
    </xf>
    <xf numFmtId="0" fontId="23" fillId="5" borderId="0" xfId="4" applyFont="1" applyFill="1" applyBorder="1" applyAlignment="1" applyProtection="1"/>
    <xf numFmtId="0" fontId="9" fillId="19" borderId="11" xfId="4" applyFont="1" applyFill="1" applyBorder="1" applyAlignment="1" applyProtection="1">
      <alignment horizontal="center"/>
    </xf>
    <xf numFmtId="0" fontId="27" fillId="5" borderId="0" xfId="4" applyFont="1" applyFill="1" applyBorder="1" applyAlignment="1" applyProtection="1"/>
    <xf numFmtId="0" fontId="25" fillId="4" borderId="0" xfId="4" applyFont="1" applyFill="1" applyBorder="1" applyAlignment="1" applyProtection="1">
      <alignment horizontal="center"/>
    </xf>
    <xf numFmtId="0" fontId="25" fillId="5" borderId="0" xfId="4" applyFont="1" applyFill="1" applyBorder="1" applyAlignment="1" applyProtection="1"/>
    <xf numFmtId="0" fontId="20" fillId="4" borderId="0" xfId="4" applyFont="1" applyFill="1" applyBorder="1" applyAlignment="1" applyProtection="1">
      <alignment horizontal="center"/>
    </xf>
    <xf numFmtId="0" fontId="20" fillId="5" borderId="0" xfId="4" applyFont="1" applyFill="1" applyBorder="1" applyAlignment="1" applyProtection="1"/>
    <xf numFmtId="0" fontId="17" fillId="6" borderId="0" xfId="4" applyFont="1" applyFill="1" applyBorder="1" applyProtection="1"/>
    <xf numFmtId="0" fontId="20" fillId="6" borderId="0" xfId="4" applyFont="1" applyFill="1" applyBorder="1" applyAlignment="1" applyProtection="1"/>
    <xf numFmtId="0" fontId="17" fillId="6" borderId="81" xfId="4" applyFont="1" applyFill="1" applyBorder="1" applyProtection="1"/>
    <xf numFmtId="0" fontId="17" fillId="6" borderId="181" xfId="4" applyFont="1" applyFill="1" applyBorder="1" applyProtection="1"/>
    <xf numFmtId="0" fontId="17" fillId="6" borderId="82" xfId="4" applyFont="1" applyFill="1" applyBorder="1" applyProtection="1"/>
    <xf numFmtId="0" fontId="13" fillId="5" borderId="0" xfId="4" applyFont="1" applyFill="1" applyBorder="1" applyAlignment="1" applyProtection="1">
      <alignment horizontal="right"/>
    </xf>
    <xf numFmtId="0" fontId="17" fillId="6" borderId="54" xfId="4" applyFont="1" applyFill="1" applyBorder="1" applyProtection="1"/>
    <xf numFmtId="0" fontId="17" fillId="6" borderId="113" xfId="4" applyFont="1" applyFill="1" applyBorder="1" applyProtection="1"/>
    <xf numFmtId="0" fontId="17" fillId="6" borderId="193" xfId="4" applyFont="1" applyFill="1" applyBorder="1" applyProtection="1"/>
    <xf numFmtId="0" fontId="17" fillId="6" borderId="55" xfId="4" applyFont="1" applyFill="1" applyBorder="1" applyProtection="1"/>
    <xf numFmtId="0" fontId="17" fillId="6" borderId="56" xfId="4" applyFont="1" applyFill="1" applyBorder="1" applyProtection="1"/>
    <xf numFmtId="0" fontId="17" fillId="6" borderId="187" xfId="4" applyFont="1" applyFill="1" applyBorder="1" applyProtection="1"/>
    <xf numFmtId="0" fontId="17" fillId="6" borderId="85" xfId="4" applyFont="1" applyFill="1" applyBorder="1" applyProtection="1"/>
    <xf numFmtId="0" fontId="17" fillId="6" borderId="0" xfId="4" applyFont="1" applyFill="1" applyBorder="1" applyAlignment="1" applyProtection="1">
      <alignment horizontal="left"/>
    </xf>
    <xf numFmtId="0" fontId="9" fillId="7" borderId="16" xfId="4" applyFont="1" applyFill="1" applyBorder="1" applyAlignment="1" applyProtection="1">
      <alignment horizontal="center"/>
    </xf>
    <xf numFmtId="0" fontId="9" fillId="7" borderId="17" xfId="4" applyFont="1" applyFill="1" applyBorder="1" applyProtection="1"/>
    <xf numFmtId="0" fontId="9" fillId="7" borderId="30" xfId="4" applyFont="1" applyFill="1" applyBorder="1" applyAlignment="1" applyProtection="1"/>
    <xf numFmtId="0" fontId="9" fillId="7" borderId="186" xfId="4" applyFont="1" applyFill="1" applyBorder="1" applyAlignment="1" applyProtection="1"/>
    <xf numFmtId="0" fontId="17" fillId="6" borderId="0" xfId="4" applyFont="1" applyFill="1" applyBorder="1" applyAlignment="1" applyProtection="1"/>
    <xf numFmtId="0" fontId="17" fillId="6" borderId="113" xfId="4" applyFont="1" applyFill="1" applyBorder="1" applyAlignment="1" applyProtection="1">
      <alignment horizontal="center"/>
    </xf>
    <xf numFmtId="0" fontId="9" fillId="16" borderId="22" xfId="4" applyFont="1" applyFill="1" applyBorder="1" applyAlignment="1" applyProtection="1">
      <alignment horizontal="center" vertical="center"/>
    </xf>
    <xf numFmtId="0" fontId="9" fillId="16" borderId="22" xfId="4" applyFont="1" applyFill="1" applyBorder="1" applyAlignment="1" applyProtection="1">
      <alignment horizontal="center"/>
    </xf>
    <xf numFmtId="0" fontId="9" fillId="16" borderId="22" xfId="4" applyNumberFormat="1" applyFont="1" applyFill="1" applyBorder="1" applyAlignment="1" applyProtection="1">
      <alignment horizontal="center" vertical="center"/>
    </xf>
    <xf numFmtId="169" fontId="17" fillId="5" borderId="0" xfId="4" applyNumberFormat="1" applyFont="1" applyFill="1" applyBorder="1" applyAlignment="1" applyProtection="1">
      <alignment horizontal="center"/>
    </xf>
    <xf numFmtId="0" fontId="9" fillId="22" borderId="93" xfId="4" applyFont="1" applyFill="1" applyBorder="1" applyAlignment="1" applyProtection="1">
      <alignment horizontal="center" vertical="center"/>
    </xf>
    <xf numFmtId="165" fontId="9" fillId="19" borderId="22" xfId="4" applyNumberFormat="1" applyFont="1" applyFill="1" applyBorder="1" applyAlignment="1" applyProtection="1">
      <alignment horizontal="center" vertical="center"/>
    </xf>
    <xf numFmtId="169" fontId="9" fillId="19" borderId="22" xfId="2" applyNumberFormat="1" applyFont="1" applyFill="1" applyBorder="1" applyAlignment="1" applyProtection="1">
      <alignment horizontal="center" vertical="center"/>
    </xf>
    <xf numFmtId="0" fontId="9" fillId="19" borderId="22" xfId="4" applyFont="1" applyFill="1" applyBorder="1" applyAlignment="1" applyProtection="1">
      <alignment horizontal="center" vertical="center"/>
    </xf>
    <xf numFmtId="165" fontId="17" fillId="6" borderId="0" xfId="4" applyNumberFormat="1" applyFont="1" applyFill="1" applyBorder="1" applyProtection="1"/>
    <xf numFmtId="169" fontId="17" fillId="5" borderId="0" xfId="2" applyNumberFormat="1" applyFont="1" applyFill="1" applyBorder="1" applyAlignment="1" applyProtection="1">
      <alignment horizontal="center"/>
    </xf>
    <xf numFmtId="170" fontId="17" fillId="6" borderId="113" xfId="1" applyNumberFormat="1" applyFont="1" applyFill="1" applyBorder="1" applyAlignment="1" applyProtection="1">
      <alignment horizontal="center"/>
    </xf>
    <xf numFmtId="169" fontId="17" fillId="6" borderId="113" xfId="2" applyNumberFormat="1" applyFont="1" applyFill="1" applyBorder="1" applyProtection="1"/>
    <xf numFmtId="0" fontId="9" fillId="19" borderId="156" xfId="4" applyFont="1" applyFill="1" applyBorder="1" applyAlignment="1" applyProtection="1">
      <alignment horizontal="center" vertical="center"/>
    </xf>
    <xf numFmtId="1" fontId="17" fillId="6" borderId="0" xfId="4" applyNumberFormat="1" applyFont="1" applyFill="1" applyBorder="1" applyAlignment="1" applyProtection="1">
      <alignment horizontal="center"/>
    </xf>
    <xf numFmtId="0" fontId="9" fillId="16" borderId="70" xfId="4" applyFont="1" applyFill="1" applyBorder="1" applyAlignment="1" applyProtection="1">
      <alignment horizontal="center" vertical="center"/>
    </xf>
    <xf numFmtId="0" fontId="9" fillId="7" borderId="21" xfId="4" applyFont="1" applyFill="1" applyBorder="1" applyAlignment="1" applyProtection="1">
      <alignment horizontal="center"/>
    </xf>
    <xf numFmtId="1" fontId="9" fillId="7" borderId="160" xfId="4" applyNumberFormat="1" applyFont="1" applyFill="1" applyBorder="1" applyAlignment="1" applyProtection="1">
      <alignment horizontal="center"/>
    </xf>
    <xf numFmtId="2" fontId="9" fillId="7" borderId="156" xfId="4" applyNumberFormat="1" applyFont="1" applyFill="1" applyBorder="1" applyAlignment="1" applyProtection="1"/>
    <xf numFmtId="165" fontId="9" fillId="22" borderId="69" xfId="4" applyNumberFormat="1" applyFont="1" applyFill="1" applyBorder="1" applyAlignment="1" applyProtection="1">
      <alignment horizontal="center" vertical="center"/>
    </xf>
    <xf numFmtId="165" fontId="9" fillId="19" borderId="160" xfId="4" applyNumberFormat="1" applyFont="1" applyFill="1" applyBorder="1" applyAlignment="1" applyProtection="1">
      <alignment horizontal="center"/>
    </xf>
    <xf numFmtId="169" fontId="17" fillId="5" borderId="0" xfId="4" applyNumberFormat="1" applyFont="1" applyFill="1" applyBorder="1" applyProtection="1"/>
    <xf numFmtId="169" fontId="9" fillId="22" borderId="69" xfId="2" applyNumberFormat="1" applyFont="1" applyFill="1" applyBorder="1" applyAlignment="1" applyProtection="1">
      <alignment horizontal="center" vertical="center"/>
    </xf>
    <xf numFmtId="0" fontId="9" fillId="16" borderId="19" xfId="4" applyFont="1" applyFill="1" applyBorder="1" applyAlignment="1" applyProtection="1">
      <alignment horizontal="center"/>
    </xf>
    <xf numFmtId="0" fontId="13" fillId="16" borderId="101" xfId="4" applyFont="1" applyFill="1" applyBorder="1" applyAlignment="1" applyProtection="1">
      <alignment horizontal="right"/>
    </xf>
    <xf numFmtId="2" fontId="9" fillId="16" borderId="101" xfId="4" applyNumberFormat="1" applyFont="1" applyFill="1" applyBorder="1" applyAlignment="1" applyProtection="1">
      <alignment horizontal="center"/>
    </xf>
    <xf numFmtId="2" fontId="9" fillId="16" borderId="8" xfId="4" applyNumberFormat="1" applyFont="1" applyFill="1" applyBorder="1" applyAlignment="1" applyProtection="1">
      <alignment horizontal="center"/>
    </xf>
    <xf numFmtId="2" fontId="9" fillId="16" borderId="99" xfId="4" applyNumberFormat="1" applyFont="1" applyFill="1" applyBorder="1" applyAlignment="1" applyProtection="1">
      <alignment horizontal="center"/>
    </xf>
    <xf numFmtId="2" fontId="9" fillId="16" borderId="164" xfId="4" applyNumberFormat="1" applyFont="1" applyFill="1" applyBorder="1" applyAlignment="1" applyProtection="1">
      <alignment horizontal="center"/>
    </xf>
    <xf numFmtId="0" fontId="9" fillId="19" borderId="113" xfId="4" applyFont="1" applyFill="1" applyBorder="1" applyAlignment="1" applyProtection="1">
      <alignment horizontal="center"/>
    </xf>
    <xf numFmtId="165" fontId="9" fillId="19" borderId="113" xfId="4" applyNumberFormat="1" applyFont="1" applyFill="1" applyBorder="1" applyAlignment="1" applyProtection="1">
      <alignment horizontal="center" vertical="center"/>
    </xf>
    <xf numFmtId="0" fontId="9" fillId="7" borderId="22" xfId="4" applyFont="1" applyFill="1" applyBorder="1" applyAlignment="1" applyProtection="1">
      <alignment horizontal="center"/>
    </xf>
    <xf numFmtId="1" fontId="9" fillId="7" borderId="22" xfId="4" applyNumberFormat="1" applyFont="1" applyFill="1" applyBorder="1" applyAlignment="1" applyProtection="1">
      <alignment horizontal="center"/>
    </xf>
    <xf numFmtId="1" fontId="9" fillId="19" borderId="22" xfId="4" applyNumberFormat="1" applyFont="1" applyFill="1" applyBorder="1" applyAlignment="1" applyProtection="1">
      <alignment horizontal="center"/>
    </xf>
    <xf numFmtId="165" fontId="9" fillId="19" borderId="22" xfId="4" applyNumberFormat="1" applyFont="1" applyFill="1" applyBorder="1" applyAlignment="1" applyProtection="1">
      <alignment horizontal="center"/>
    </xf>
    <xf numFmtId="0" fontId="17" fillId="4" borderId="0" xfId="4" applyFont="1" applyFill="1" applyBorder="1" applyProtection="1"/>
    <xf numFmtId="0" fontId="25" fillId="8" borderId="0" xfId="4" applyFont="1" applyFill="1" applyProtection="1"/>
    <xf numFmtId="0" fontId="41" fillId="5" borderId="0" xfId="4" applyFont="1" applyFill="1" applyBorder="1" applyProtection="1"/>
    <xf numFmtId="0" fontId="25" fillId="3" borderId="0" xfId="4" applyFont="1" applyFill="1" applyAlignment="1" applyProtection="1"/>
    <xf numFmtId="0" fontId="22" fillId="4" borderId="0" xfId="4" applyFont="1" applyFill="1" applyBorder="1" applyAlignment="1" applyProtection="1">
      <alignment horizontal="left"/>
    </xf>
    <xf numFmtId="0" fontId="22" fillId="5" borderId="0" xfId="4" applyFont="1" applyFill="1" applyBorder="1" applyAlignment="1" applyProtection="1">
      <alignment horizontal="left"/>
    </xf>
    <xf numFmtId="0" fontId="22" fillId="4" borderId="0" xfId="4" applyFont="1" applyFill="1" applyBorder="1" applyAlignment="1" applyProtection="1">
      <alignment horizontal="center"/>
    </xf>
    <xf numFmtId="0" fontId="22" fillId="4" borderId="0" xfId="4" applyFont="1" applyFill="1" applyBorder="1" applyAlignment="1" applyProtection="1"/>
    <xf numFmtId="0" fontId="22" fillId="5" borderId="0" xfId="4" applyFont="1" applyFill="1" applyBorder="1" applyAlignment="1" applyProtection="1"/>
    <xf numFmtId="0" fontId="5" fillId="0" borderId="105" xfId="0" applyFont="1" applyBorder="1" applyProtection="1"/>
    <xf numFmtId="0" fontId="12" fillId="5" borderId="0" xfId="0" applyFont="1" applyFill="1" applyBorder="1" applyAlignment="1" applyProtection="1">
      <alignment horizontal="left"/>
    </xf>
    <xf numFmtId="0" fontId="9" fillId="7" borderId="32" xfId="0" applyFont="1" applyFill="1" applyBorder="1" applyAlignment="1" applyProtection="1">
      <alignment horizontal="center"/>
    </xf>
    <xf numFmtId="0" fontId="18" fillId="5" borderId="0" xfId="0" applyFont="1" applyFill="1" applyBorder="1" applyAlignment="1" applyProtection="1"/>
    <xf numFmtId="0" fontId="25" fillId="5" borderId="0" xfId="0" applyFont="1" applyFill="1" applyBorder="1" applyAlignment="1" applyProtection="1">
      <alignment horizontal="center"/>
    </xf>
    <xf numFmtId="0" fontId="25" fillId="0" borderId="0" xfId="0" applyFont="1" applyProtection="1"/>
    <xf numFmtId="0" fontId="0" fillId="9" borderId="113" xfId="0" applyFont="1" applyFill="1" applyBorder="1" applyAlignment="1" applyProtection="1">
      <alignment horizontal="center"/>
    </xf>
    <xf numFmtId="167" fontId="70" fillId="9" borderId="113" xfId="0" applyNumberFormat="1" applyFont="1" applyFill="1" applyBorder="1" applyAlignment="1" applyProtection="1">
      <alignment horizontal="center"/>
    </xf>
    <xf numFmtId="167" fontId="70" fillId="9" borderId="113" xfId="0" applyNumberFormat="1" applyFont="1" applyFill="1" applyBorder="1" applyAlignment="1" applyProtection="1">
      <alignment horizontal="center" vertical="center"/>
    </xf>
    <xf numFmtId="164" fontId="0" fillId="9" borderId="113" xfId="1" applyFont="1" applyFill="1" applyBorder="1" applyAlignment="1" applyProtection="1">
      <alignment horizontal="center"/>
    </xf>
    <xf numFmtId="171" fontId="0" fillId="9" borderId="113" xfId="0" applyNumberFormat="1" applyFill="1" applyBorder="1" applyAlignment="1" applyProtection="1">
      <alignment horizontal="center"/>
    </xf>
    <xf numFmtId="0" fontId="0" fillId="0" borderId="113" xfId="0" applyBorder="1" applyAlignment="1" applyProtection="1">
      <alignment horizontal="center"/>
      <protection locked="0"/>
    </xf>
    <xf numFmtId="167" fontId="6" fillId="20" borderId="113" xfId="0" applyNumberFormat="1" applyFont="1" applyFill="1" applyBorder="1" applyAlignment="1" applyProtection="1">
      <alignment horizontal="center"/>
      <protection locked="0"/>
    </xf>
    <xf numFmtId="0" fontId="15" fillId="0" borderId="0" xfId="0" applyFont="1" applyProtection="1"/>
    <xf numFmtId="0" fontId="6" fillId="2" borderId="113" xfId="0" applyFont="1" applyFill="1" applyBorder="1" applyAlignment="1" applyProtection="1">
      <alignment horizontal="center"/>
    </xf>
    <xf numFmtId="0" fontId="9" fillId="16" borderId="59" xfId="0" applyFont="1" applyFill="1" applyBorder="1" applyAlignment="1" applyProtection="1">
      <alignment horizontal="center"/>
    </xf>
    <xf numFmtId="0" fontId="9" fillId="16" borderId="68" xfId="0" applyFont="1" applyFill="1" applyBorder="1" applyAlignment="1" applyProtection="1">
      <alignment horizontal="center"/>
    </xf>
    <xf numFmtId="0" fontId="17" fillId="3" borderId="0" xfId="0" applyFont="1" applyFill="1" applyBorder="1" applyProtection="1"/>
    <xf numFmtId="0" fontId="9" fillId="5" borderId="111" xfId="0" applyFont="1" applyFill="1" applyBorder="1" applyAlignment="1" applyProtection="1">
      <alignment horizontal="right" vertical="center"/>
    </xf>
    <xf numFmtId="0" fontId="9" fillId="16" borderId="63" xfId="0" applyFont="1" applyFill="1" applyBorder="1" applyAlignment="1" applyProtection="1">
      <alignment horizontal="center"/>
    </xf>
    <xf numFmtId="0" fontId="9" fillId="16" borderId="117" xfId="0" applyFont="1" applyFill="1" applyBorder="1" applyAlignment="1" applyProtection="1">
      <alignment horizontal="center"/>
    </xf>
    <xf numFmtId="0" fontId="9" fillId="16" borderId="103" xfId="0" applyFont="1" applyFill="1" applyBorder="1" applyAlignment="1" applyProtection="1">
      <alignment horizontal="center"/>
    </xf>
    <xf numFmtId="0" fontId="9" fillId="5" borderId="111" xfId="0" applyFont="1" applyFill="1" applyBorder="1" applyAlignment="1" applyProtection="1">
      <alignment vertical="center"/>
    </xf>
    <xf numFmtId="0" fontId="6" fillId="0" borderId="112" xfId="0" applyFont="1" applyBorder="1" applyProtection="1"/>
    <xf numFmtId="165" fontId="9" fillId="7" borderId="124" xfId="0" applyNumberFormat="1" applyFont="1" applyFill="1" applyBorder="1" applyAlignment="1" applyProtection="1">
      <alignment horizontal="center"/>
    </xf>
    <xf numFmtId="165" fontId="9" fillId="7" borderId="97" xfId="0" applyNumberFormat="1" applyFont="1" applyFill="1" applyBorder="1" applyAlignment="1" applyProtection="1">
      <alignment horizontal="center"/>
    </xf>
    <xf numFmtId="0" fontId="9" fillId="7" borderId="106" xfId="0" applyFont="1" applyFill="1" applyBorder="1" applyAlignment="1" applyProtection="1">
      <alignment horizontal="center" vertical="center"/>
    </xf>
    <xf numFmtId="0" fontId="9" fillId="7" borderId="94" xfId="0" applyFont="1" applyFill="1" applyBorder="1" applyAlignment="1" applyProtection="1">
      <alignment horizontal="center" vertical="center"/>
    </xf>
    <xf numFmtId="165" fontId="9" fillId="7" borderId="125" xfId="0" applyNumberFormat="1" applyFont="1" applyFill="1" applyBorder="1" applyAlignment="1" applyProtection="1">
      <alignment horizontal="center"/>
    </xf>
    <xf numFmtId="0" fontId="9" fillId="7" borderId="33" xfId="0" applyFont="1" applyFill="1" applyBorder="1" applyAlignment="1" applyProtection="1">
      <alignment horizontal="center" vertical="center"/>
    </xf>
    <xf numFmtId="0" fontId="9" fillId="7" borderId="97" xfId="0" applyFont="1" applyFill="1" applyBorder="1" applyAlignment="1" applyProtection="1">
      <alignment horizontal="center" vertical="center"/>
    </xf>
    <xf numFmtId="1" fontId="9" fillId="19" borderId="97" xfId="0" applyNumberFormat="1" applyFont="1" applyFill="1" applyBorder="1" applyAlignment="1" applyProtection="1">
      <alignment horizontal="center" vertical="center"/>
    </xf>
    <xf numFmtId="165" fontId="9" fillId="7" borderId="125" xfId="0" applyNumberFormat="1" applyFont="1" applyFill="1" applyBorder="1" applyAlignment="1" applyProtection="1">
      <alignment horizontal="center" vertical="center"/>
    </xf>
    <xf numFmtId="165" fontId="9" fillId="7" borderId="97" xfId="0" applyNumberFormat="1" applyFont="1" applyFill="1" applyBorder="1" applyAlignment="1" applyProtection="1">
      <alignment horizontal="center" vertical="center"/>
    </xf>
    <xf numFmtId="169" fontId="9" fillId="19" borderId="97" xfId="2" applyNumberFormat="1" applyFont="1" applyFill="1" applyBorder="1" applyAlignment="1" applyProtection="1">
      <alignment horizontal="center"/>
    </xf>
    <xf numFmtId="165" fontId="9" fillId="19" borderId="125" xfId="0" applyNumberFormat="1" applyFont="1" applyFill="1" applyBorder="1" applyAlignment="1" applyProtection="1">
      <alignment horizontal="center" vertical="center"/>
    </xf>
    <xf numFmtId="169" fontId="9" fillId="5" borderId="97" xfId="2" applyNumberFormat="1" applyFont="1" applyFill="1" applyBorder="1" applyAlignment="1" applyProtection="1">
      <alignment horizontal="center"/>
    </xf>
    <xf numFmtId="1" fontId="22" fillId="4" borderId="0" xfId="0" applyNumberFormat="1" applyFont="1" applyFill="1" applyBorder="1" applyAlignment="1" applyProtection="1">
      <alignment horizontal="center"/>
    </xf>
    <xf numFmtId="0" fontId="49" fillId="4" borderId="0" xfId="0" applyFont="1" applyFill="1" applyBorder="1" applyProtection="1"/>
    <xf numFmtId="0" fontId="49" fillId="5" borderId="0" xfId="0" applyFont="1" applyFill="1" applyBorder="1" applyProtection="1"/>
    <xf numFmtId="0" fontId="9" fillId="16" borderId="98" xfId="0" applyFont="1" applyFill="1" applyBorder="1" applyAlignment="1" applyProtection="1">
      <alignment horizontal="center"/>
    </xf>
    <xf numFmtId="0" fontId="9" fillId="16" borderId="17" xfId="0" applyFont="1" applyFill="1" applyBorder="1" applyAlignment="1" applyProtection="1">
      <alignment horizontal="center"/>
    </xf>
    <xf numFmtId="0" fontId="9" fillId="16" borderId="90" xfId="0" applyFont="1" applyFill="1" applyBorder="1" applyAlignment="1" applyProtection="1">
      <alignment horizontal="center"/>
    </xf>
    <xf numFmtId="0" fontId="9" fillId="16" borderId="11" xfId="0" applyFont="1" applyFill="1" applyBorder="1" applyAlignment="1" applyProtection="1">
      <alignment horizontal="center"/>
    </xf>
    <xf numFmtId="0" fontId="9" fillId="7" borderId="13" xfId="0" applyFont="1" applyFill="1" applyBorder="1" applyAlignment="1" applyProtection="1">
      <alignment horizontal="center" vertical="center"/>
    </xf>
    <xf numFmtId="0" fontId="9" fillId="7" borderId="190" xfId="0" applyFont="1" applyFill="1" applyBorder="1" applyAlignment="1" applyProtection="1">
      <alignment horizontal="center" vertical="center"/>
    </xf>
    <xf numFmtId="0" fontId="9" fillId="7" borderId="189" xfId="0" applyFont="1" applyFill="1" applyBorder="1" applyAlignment="1" applyProtection="1">
      <alignment horizontal="center" vertical="center"/>
    </xf>
    <xf numFmtId="165" fontId="9" fillId="19" borderId="127" xfId="0" applyNumberFormat="1" applyFont="1" applyFill="1" applyBorder="1" applyAlignment="1" applyProtection="1">
      <alignment horizontal="center" vertical="center"/>
    </xf>
    <xf numFmtId="0" fontId="20" fillId="5" borderId="0" xfId="0" applyFont="1" applyFill="1" applyBorder="1" applyAlignment="1" applyProtection="1"/>
    <xf numFmtId="0" fontId="41" fillId="4" borderId="0" xfId="0" applyFont="1" applyFill="1" applyBorder="1" applyProtection="1"/>
    <xf numFmtId="0" fontId="41" fillId="5" borderId="0" xfId="0" applyFont="1" applyFill="1" applyBorder="1" applyProtection="1"/>
    <xf numFmtId="0" fontId="9" fillId="7" borderId="27" xfId="0" applyFont="1" applyFill="1" applyBorder="1" applyAlignment="1" applyProtection="1">
      <alignment horizontal="center" vertical="center"/>
    </xf>
    <xf numFmtId="169" fontId="9" fillId="5" borderId="50" xfId="2" applyNumberFormat="1" applyFont="1" applyFill="1" applyBorder="1" applyAlignment="1" applyProtection="1">
      <alignment horizontal="center"/>
    </xf>
    <xf numFmtId="165" fontId="9" fillId="19" borderId="131" xfId="0" applyNumberFormat="1" applyFont="1" applyFill="1" applyBorder="1" applyAlignment="1" applyProtection="1">
      <alignment horizontal="center" vertical="center"/>
    </xf>
    <xf numFmtId="169" fontId="9" fillId="19" borderId="50" xfId="2" applyNumberFormat="1" applyFont="1" applyFill="1" applyBorder="1" applyAlignment="1" applyProtection="1">
      <alignment horizontal="center"/>
    </xf>
    <xf numFmtId="0" fontId="9" fillId="7" borderId="113" xfId="0" applyFont="1" applyFill="1" applyBorder="1" applyAlignment="1" applyProtection="1">
      <alignment horizontal="center"/>
    </xf>
    <xf numFmtId="0" fontId="6" fillId="2" borderId="126" xfId="0" applyFont="1" applyFill="1" applyBorder="1" applyProtection="1"/>
    <xf numFmtId="0" fontId="9" fillId="7" borderId="17" xfId="0" applyFont="1" applyFill="1" applyBorder="1" applyProtection="1"/>
    <xf numFmtId="0" fontId="9" fillId="7" borderId="96" xfId="0" applyFont="1" applyFill="1" applyBorder="1" applyProtection="1"/>
    <xf numFmtId="0" fontId="9" fillId="7" borderId="19" xfId="0" applyFont="1" applyFill="1" applyBorder="1" applyProtection="1"/>
    <xf numFmtId="0" fontId="9" fillId="7" borderId="8" xfId="0" applyFont="1" applyFill="1" applyBorder="1" applyProtection="1"/>
    <xf numFmtId="0" fontId="9" fillId="7" borderId="20" xfId="0" applyFont="1" applyFill="1" applyBorder="1" applyProtection="1"/>
    <xf numFmtId="1" fontId="9" fillId="25" borderId="0" xfId="0" applyNumberFormat="1" applyFont="1" applyFill="1" applyBorder="1" applyAlignment="1" applyProtection="1">
      <alignment horizontal="center"/>
    </xf>
    <xf numFmtId="0" fontId="9" fillId="5" borderId="111" xfId="0" applyFont="1" applyFill="1" applyBorder="1" applyAlignment="1" applyProtection="1">
      <alignment horizontal="right" vertical="center"/>
      <protection locked="0"/>
    </xf>
    <xf numFmtId="0" fontId="9" fillId="7" borderId="113" xfId="0" applyFont="1" applyFill="1" applyBorder="1" applyAlignment="1" applyProtection="1">
      <alignment horizontal="center"/>
      <protection locked="0"/>
    </xf>
    <xf numFmtId="0" fontId="18" fillId="5" borderId="0" xfId="3" applyFont="1" applyFill="1" applyBorder="1" applyAlignment="1" applyProtection="1">
      <alignment horizontal="left"/>
      <protection locked="0"/>
    </xf>
    <xf numFmtId="0" fontId="5" fillId="0" borderId="126" xfId="0" applyFont="1" applyBorder="1" applyProtection="1"/>
    <xf numFmtId="0" fontId="9" fillId="0" borderId="17" xfId="5" applyFont="1" applyBorder="1" applyAlignment="1" applyProtection="1"/>
    <xf numFmtId="0" fontId="9" fillId="0" borderId="8" xfId="5" applyFont="1" applyBorder="1" applyAlignment="1" applyProtection="1"/>
    <xf numFmtId="0" fontId="13" fillId="0" borderId="160" xfId="6" applyFont="1" applyBorder="1" applyAlignment="1" applyProtection="1">
      <alignment horizontal="left"/>
    </xf>
    <xf numFmtId="0" fontId="13" fillId="0" borderId="30" xfId="6" applyFont="1" applyBorder="1" applyAlignment="1" applyProtection="1">
      <alignment horizontal="left"/>
    </xf>
    <xf numFmtId="0" fontId="13" fillId="0" borderId="69" xfId="6" applyFont="1" applyBorder="1" applyAlignment="1" applyProtection="1">
      <alignment horizontal="left"/>
    </xf>
    <xf numFmtId="0" fontId="9" fillId="2" borderId="105" xfId="6" applyFont="1" applyFill="1" applyBorder="1" applyAlignment="1" applyProtection="1">
      <alignment horizontal="center"/>
    </xf>
    <xf numFmtId="0" fontId="9" fillId="2" borderId="8" xfId="6" applyFont="1" applyFill="1" applyBorder="1" applyAlignment="1" applyProtection="1">
      <alignment horizontal="center"/>
    </xf>
    <xf numFmtId="0" fontId="13" fillId="4" borderId="0" xfId="0" applyFont="1" applyFill="1" applyBorder="1" applyAlignment="1" applyProtection="1"/>
    <xf numFmtId="0" fontId="9" fillId="4" borderId="0" xfId="0" applyFont="1" applyFill="1" applyBorder="1" applyProtection="1"/>
    <xf numFmtId="0" fontId="46" fillId="9" borderId="113" xfId="0" applyFont="1" applyFill="1" applyBorder="1" applyAlignment="1" applyProtection="1">
      <alignment horizontal="center" vertical="center"/>
    </xf>
    <xf numFmtId="0" fontId="46" fillId="9" borderId="113" xfId="0" quotePrefix="1" applyFont="1" applyFill="1" applyBorder="1" applyAlignment="1" applyProtection="1">
      <alignment horizontal="center" vertical="center"/>
    </xf>
    <xf numFmtId="0" fontId="9" fillId="16" borderId="194" xfId="0" applyFont="1" applyFill="1" applyBorder="1" applyAlignment="1" applyProtection="1">
      <alignment horizontal="center" vertical="center"/>
    </xf>
    <xf numFmtId="0" fontId="9" fillId="16" borderId="197" xfId="0" applyFont="1" applyFill="1" applyBorder="1" applyAlignment="1" applyProtection="1">
      <alignment horizontal="center" vertical="center"/>
    </xf>
    <xf numFmtId="0" fontId="9" fillId="16" borderId="132" xfId="0" applyFont="1" applyFill="1" applyBorder="1" applyAlignment="1" applyProtection="1">
      <alignment horizontal="center" vertical="center" wrapText="1"/>
    </xf>
    <xf numFmtId="0" fontId="9" fillId="5" borderId="195" xfId="0" applyFont="1" applyFill="1" applyBorder="1" applyAlignment="1" applyProtection="1">
      <alignment horizontal="center" vertical="center"/>
    </xf>
    <xf numFmtId="0" fontId="41" fillId="5" borderId="32" xfId="0" applyFont="1" applyFill="1" applyBorder="1" applyAlignment="1" applyProtection="1">
      <alignment horizontal="center" vertical="center"/>
    </xf>
    <xf numFmtId="0" fontId="41" fillId="5" borderId="134" xfId="0" applyFont="1" applyFill="1" applyBorder="1" applyAlignment="1" applyProtection="1">
      <alignment horizontal="center" vertical="center"/>
    </xf>
    <xf numFmtId="0" fontId="41" fillId="5" borderId="33" xfId="0" applyFont="1" applyFill="1" applyBorder="1" applyAlignment="1" applyProtection="1">
      <alignment horizontal="center" vertical="center"/>
    </xf>
    <xf numFmtId="0" fontId="20" fillId="5" borderId="64"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0" fillId="5" borderId="133" xfId="0" applyFont="1" applyFill="1" applyBorder="1" applyAlignment="1" applyProtection="1">
      <alignment horizontal="left" vertical="center" indent="1"/>
    </xf>
    <xf numFmtId="0" fontId="9" fillId="7" borderId="113" xfId="0" applyFont="1" applyFill="1" applyBorder="1" applyAlignment="1" applyProtection="1">
      <alignment horizontal="center" vertical="center"/>
    </xf>
    <xf numFmtId="0" fontId="9" fillId="7" borderId="113" xfId="0" applyFont="1" applyFill="1" applyBorder="1" applyAlignment="1" applyProtection="1">
      <alignment horizontal="left" vertical="center" indent="1"/>
    </xf>
    <xf numFmtId="0" fontId="9" fillId="7" borderId="32" xfId="0" applyFont="1" applyFill="1" applyBorder="1" applyAlignment="1" applyProtection="1">
      <alignment horizontal="center" vertical="center"/>
    </xf>
    <xf numFmtId="0" fontId="9" fillId="5" borderId="196" xfId="0" applyFont="1" applyFill="1" applyBorder="1" applyAlignment="1" applyProtection="1">
      <alignment horizontal="center" vertical="center"/>
    </xf>
    <xf numFmtId="0" fontId="9" fillId="16" borderId="113" xfId="0" applyFont="1" applyFill="1" applyBorder="1" applyAlignment="1" applyProtection="1">
      <alignment vertical="center"/>
    </xf>
    <xf numFmtId="0" fontId="9" fillId="16" borderId="113" xfId="0" applyFont="1" applyFill="1" applyBorder="1" applyAlignment="1" applyProtection="1">
      <alignment vertical="center" wrapText="1"/>
    </xf>
    <xf numFmtId="0" fontId="9" fillId="7" borderId="113" xfId="0" applyFont="1" applyFill="1" applyBorder="1" applyAlignment="1" applyProtection="1">
      <alignment vertical="center"/>
    </xf>
    <xf numFmtId="2" fontId="9" fillId="19" borderId="113" xfId="0" applyNumberFormat="1" applyFont="1" applyFill="1" applyBorder="1" applyAlignment="1" applyProtection="1">
      <alignment vertical="center"/>
    </xf>
    <xf numFmtId="0" fontId="9" fillId="19" borderId="113" xfId="0" applyFont="1" applyFill="1" applyBorder="1" applyAlignment="1" applyProtection="1">
      <alignment horizontal="center" vertical="center"/>
    </xf>
    <xf numFmtId="0" fontId="9" fillId="16" borderId="51" xfId="0" applyFont="1" applyFill="1" applyBorder="1" applyAlignment="1" applyProtection="1">
      <alignment horizontal="center" vertical="center"/>
    </xf>
    <xf numFmtId="0" fontId="9" fillId="19" borderId="189" xfId="0" applyFont="1" applyFill="1" applyBorder="1" applyAlignment="1" applyProtection="1">
      <alignment horizontal="center" vertical="center"/>
    </xf>
    <xf numFmtId="0" fontId="9" fillId="16" borderId="98" xfId="0" applyFont="1" applyFill="1" applyBorder="1" applyAlignment="1" applyProtection="1">
      <alignment horizontal="center" vertical="center"/>
    </xf>
    <xf numFmtId="0" fontId="9" fillId="16" borderId="90" xfId="0" applyFont="1" applyFill="1" applyBorder="1" applyAlignment="1" applyProtection="1">
      <alignment horizontal="center" vertical="center"/>
    </xf>
    <xf numFmtId="0" fontId="9" fillId="16" borderId="91" xfId="0" applyFont="1" applyFill="1" applyBorder="1" applyAlignment="1" applyProtection="1">
      <alignment horizontal="center" vertical="center"/>
    </xf>
    <xf numFmtId="0" fontId="9" fillId="0" borderId="70" xfId="0" applyFont="1" applyBorder="1" applyAlignment="1" applyProtection="1">
      <alignment horizontal="left" indent="1"/>
    </xf>
    <xf numFmtId="0" fontId="9" fillId="5" borderId="53" xfId="0" applyFont="1" applyFill="1" applyBorder="1" applyAlignment="1" applyProtection="1">
      <alignment horizontal="left" indent="1"/>
    </xf>
    <xf numFmtId="0" fontId="9" fillId="18" borderId="32" xfId="0" applyFont="1" applyFill="1" applyBorder="1" applyAlignment="1" applyProtection="1">
      <alignment horizontal="center" vertical="center"/>
    </xf>
    <xf numFmtId="0" fontId="9" fillId="7" borderId="65" xfId="0" applyFont="1" applyFill="1" applyBorder="1" applyAlignment="1" applyProtection="1">
      <alignment horizontal="center" vertical="center"/>
    </xf>
    <xf numFmtId="0" fontId="9" fillId="18" borderId="33" xfId="0" applyFont="1" applyFill="1" applyBorder="1" applyAlignment="1" applyProtection="1">
      <alignment horizontal="center" vertical="center"/>
    </xf>
    <xf numFmtId="0" fontId="25" fillId="5" borderId="70" xfId="0" applyFont="1" applyFill="1" applyBorder="1" applyAlignment="1" applyProtection="1">
      <alignment horizontal="left" indent="1"/>
    </xf>
    <xf numFmtId="0" fontId="9" fillId="5" borderId="53" xfId="0" applyFont="1" applyFill="1" applyBorder="1" applyAlignment="1" applyProtection="1">
      <alignment horizontal="left" vertical="center" indent="1"/>
    </xf>
    <xf numFmtId="0" fontId="55" fillId="7" borderId="34" xfId="0" applyFont="1" applyFill="1" applyBorder="1" applyAlignment="1" applyProtection="1">
      <alignment horizontal="left" vertical="center"/>
    </xf>
    <xf numFmtId="0" fontId="9" fillId="7" borderId="95" xfId="0" applyFont="1" applyFill="1" applyBorder="1" applyAlignment="1" applyProtection="1">
      <alignment horizontal="left" vertical="center"/>
    </xf>
    <xf numFmtId="0" fontId="9" fillId="18" borderId="35" xfId="0" applyFont="1" applyFill="1" applyBorder="1" applyAlignment="1" applyProtection="1">
      <alignment horizontal="center" vertical="center"/>
    </xf>
    <xf numFmtId="0" fontId="9" fillId="5" borderId="105" xfId="0" applyFont="1" applyFill="1" applyBorder="1" applyAlignment="1" applyProtection="1">
      <alignment horizontal="left" vertical="center" indent="1"/>
    </xf>
    <xf numFmtId="49" fontId="9" fillId="5" borderId="0" xfId="0" applyNumberFormat="1" applyFont="1" applyFill="1" applyBorder="1" applyAlignment="1" applyProtection="1">
      <alignment horizontal="left" vertical="center" indent="1"/>
    </xf>
    <xf numFmtId="0" fontId="9" fillId="19" borderId="32" xfId="0" applyFont="1" applyFill="1" applyBorder="1" applyAlignment="1" applyProtection="1">
      <alignment horizontal="center" vertical="center"/>
    </xf>
    <xf numFmtId="0" fontId="9" fillId="19" borderId="27" xfId="0" applyFont="1" applyFill="1" applyBorder="1" applyAlignment="1" applyProtection="1">
      <alignment horizontal="center" vertical="center"/>
    </xf>
    <xf numFmtId="49" fontId="9" fillId="5" borderId="50" xfId="0" applyNumberFormat="1" applyFont="1" applyFill="1" applyBorder="1" applyAlignment="1" applyProtection="1">
      <alignment horizontal="left" vertical="center" indent="1"/>
    </xf>
    <xf numFmtId="0" fontId="56" fillId="7" borderId="90" xfId="0" applyFont="1" applyFill="1" applyBorder="1" applyAlignment="1" applyProtection="1">
      <alignment horizontal="center" vertical="center"/>
    </xf>
    <xf numFmtId="0" fontId="56" fillId="18" borderId="32" xfId="0" applyFont="1" applyFill="1" applyBorder="1" applyAlignment="1" applyProtection="1">
      <alignment horizontal="center" vertical="center"/>
    </xf>
    <xf numFmtId="0" fontId="56" fillId="7" borderId="11" xfId="0" applyFont="1" applyFill="1" applyBorder="1" applyAlignment="1" applyProtection="1">
      <alignment horizontal="center" vertical="center"/>
    </xf>
    <xf numFmtId="0" fontId="56" fillId="18" borderId="91" xfId="0" applyFont="1" applyFill="1" applyBorder="1" applyAlignment="1" applyProtection="1">
      <alignment horizontal="center" vertical="center"/>
    </xf>
    <xf numFmtId="0" fontId="56" fillId="7" borderId="34" xfId="0" applyFont="1" applyFill="1" applyBorder="1" applyAlignment="1" applyProtection="1">
      <alignment horizontal="left" vertical="center"/>
    </xf>
    <xf numFmtId="0" fontId="56" fillId="7" borderId="15" xfId="0" applyFont="1" applyFill="1" applyBorder="1" applyAlignment="1" applyProtection="1">
      <alignment horizontal="left" vertical="center"/>
    </xf>
    <xf numFmtId="0" fontId="56" fillId="18" borderId="35" xfId="0" applyFont="1" applyFill="1" applyBorder="1" applyAlignment="1" applyProtection="1">
      <alignment horizontal="center" vertical="center"/>
    </xf>
    <xf numFmtId="0" fontId="9" fillId="5" borderId="72" xfId="0" applyFont="1" applyFill="1" applyBorder="1" applyAlignment="1" applyProtection="1">
      <alignment horizontal="left" vertical="center" indent="1"/>
    </xf>
    <xf numFmtId="49" fontId="9" fillId="5" borderId="11" xfId="0" applyNumberFormat="1" applyFont="1" applyFill="1" applyBorder="1" applyAlignment="1" applyProtection="1">
      <alignment horizontal="left" vertical="center" indent="1"/>
    </xf>
    <xf numFmtId="0" fontId="9" fillId="5" borderId="105" xfId="0" applyFont="1" applyFill="1" applyBorder="1" applyAlignment="1" applyProtection="1">
      <alignment vertical="center"/>
    </xf>
    <xf numFmtId="49" fontId="9" fillId="5" borderId="8" xfId="0" applyNumberFormat="1" applyFont="1" applyFill="1" applyBorder="1" applyAlignment="1" applyProtection="1">
      <alignment horizontal="left" vertical="center" indent="1"/>
    </xf>
    <xf numFmtId="0" fontId="9" fillId="19" borderId="39" xfId="0" applyFont="1" applyFill="1" applyBorder="1" applyAlignment="1" applyProtection="1">
      <alignment horizontal="center" vertical="center"/>
    </xf>
    <xf numFmtId="0" fontId="9" fillId="19" borderId="38" xfId="0" applyFont="1" applyFill="1" applyBorder="1" applyAlignment="1" applyProtection="1">
      <alignment horizontal="center" vertical="center"/>
    </xf>
    <xf numFmtId="0" fontId="13" fillId="16" borderId="17" xfId="0" applyFont="1" applyFill="1" applyBorder="1" applyAlignment="1" applyProtection="1">
      <alignment horizontal="center" vertical="center"/>
    </xf>
    <xf numFmtId="0" fontId="13" fillId="16" borderId="70" xfId="0" applyFont="1" applyFill="1" applyBorder="1" applyAlignment="1" applyProtection="1">
      <alignment horizontal="center" vertical="center"/>
    </xf>
    <xf numFmtId="0" fontId="13" fillId="16" borderId="0" xfId="0" applyFont="1" applyFill="1" applyBorder="1" applyAlignment="1" applyProtection="1">
      <alignment horizontal="center" vertical="center"/>
    </xf>
    <xf numFmtId="0" fontId="9" fillId="4" borderId="0" xfId="0" applyFont="1" applyFill="1" applyBorder="1" applyProtection="1">
      <protection locked="0"/>
    </xf>
    <xf numFmtId="0" fontId="9" fillId="19" borderId="113" xfId="0" applyFont="1" applyFill="1" applyBorder="1" applyAlignment="1" applyProtection="1">
      <alignment horizontal="center" vertical="center"/>
      <protection locked="0"/>
    </xf>
    <xf numFmtId="0" fontId="0" fillId="0" borderId="0" xfId="0" applyNumberFormat="1" applyProtection="1"/>
    <xf numFmtId="0" fontId="0" fillId="9" borderId="0" xfId="0" applyNumberFormat="1" applyFill="1" applyProtection="1"/>
    <xf numFmtId="0" fontId="12" fillId="0" borderId="0" xfId="0" applyFont="1" applyProtection="1"/>
    <xf numFmtId="0" fontId="66" fillId="3" borderId="0" xfId="0" applyFont="1" applyFill="1" applyProtection="1"/>
    <xf numFmtId="0" fontId="25" fillId="4" borderId="0" xfId="0" applyFont="1" applyFill="1" applyBorder="1" applyAlignment="1" applyProtection="1"/>
    <xf numFmtId="0" fontId="66" fillId="8" borderId="0" xfId="0" applyFont="1" applyFill="1" applyProtection="1"/>
    <xf numFmtId="0" fontId="66" fillId="5" borderId="0" xfId="0" applyFont="1" applyFill="1" applyBorder="1" applyAlignment="1" applyProtection="1"/>
    <xf numFmtId="49" fontId="9" fillId="16" borderId="151" xfId="0" applyNumberFormat="1" applyFont="1" applyFill="1" applyBorder="1" applyAlignment="1" applyProtection="1">
      <alignment horizontal="center" vertical="center"/>
    </xf>
    <xf numFmtId="0" fontId="9" fillId="16" borderId="73" xfId="0" applyFont="1" applyFill="1" applyBorder="1" applyAlignment="1" applyProtection="1">
      <alignment horizontal="center" vertical="top"/>
    </xf>
    <xf numFmtId="49" fontId="9" fillId="16" borderId="73" xfId="0" applyNumberFormat="1" applyFont="1" applyFill="1" applyBorder="1" applyAlignment="1" applyProtection="1">
      <alignment horizontal="center" vertical="center"/>
    </xf>
    <xf numFmtId="49" fontId="22" fillId="16" borderId="73" xfId="0" applyNumberFormat="1" applyFont="1" applyFill="1" applyBorder="1" applyAlignment="1" applyProtection="1">
      <alignment horizontal="center" vertical="center"/>
    </xf>
    <xf numFmtId="0" fontId="27" fillId="0" borderId="0" xfId="0" applyFont="1" applyProtection="1"/>
    <xf numFmtId="0" fontId="13" fillId="0" borderId="0" xfId="0" applyFont="1" applyAlignment="1" applyProtection="1">
      <alignment horizontal="left"/>
    </xf>
    <xf numFmtId="0" fontId="6" fillId="3" borderId="0" xfId="0" applyFont="1" applyFill="1" applyAlignment="1" applyProtection="1">
      <alignment horizontal="center"/>
    </xf>
    <xf numFmtId="0" fontId="35" fillId="17" borderId="147" xfId="0" applyFont="1" applyFill="1" applyBorder="1" applyAlignment="1" applyProtection="1">
      <alignment horizontal="center" vertical="center" wrapText="1"/>
    </xf>
    <xf numFmtId="0" fontId="35" fillId="17" borderId="148" xfId="0" applyNumberFormat="1" applyFont="1" applyFill="1" applyBorder="1" applyAlignment="1" applyProtection="1">
      <alignment horizontal="center" vertical="center" wrapText="1"/>
    </xf>
    <xf numFmtId="0" fontId="30" fillId="0" borderId="149" xfId="0" applyFont="1" applyBorder="1" applyAlignment="1" applyProtection="1">
      <alignment vertical="center" wrapText="1"/>
    </xf>
    <xf numFmtId="49" fontId="30" fillId="9" borderId="150" xfId="0" applyNumberFormat="1" applyFont="1" applyFill="1" applyBorder="1" applyAlignment="1" applyProtection="1">
      <alignment horizontal="center" vertical="center" wrapText="1"/>
    </xf>
    <xf numFmtId="49" fontId="30" fillId="9" borderId="150" xfId="1" applyNumberFormat="1" applyFont="1" applyFill="1" applyBorder="1" applyAlignment="1" applyProtection="1">
      <alignment horizontal="center" vertical="center" wrapText="1"/>
    </xf>
    <xf numFmtId="0" fontId="0" fillId="9" borderId="0" xfId="0" applyNumberFormat="1" applyFill="1" applyAlignment="1" applyProtection="1">
      <alignment horizontal="center"/>
    </xf>
    <xf numFmtId="0" fontId="0" fillId="0" borderId="0" xfId="0" applyNumberFormat="1" applyBorder="1" applyProtection="1"/>
    <xf numFmtId="0" fontId="7" fillId="0" borderId="0" xfId="0" applyFont="1" applyProtection="1"/>
    <xf numFmtId="0" fontId="6" fillId="2" borderId="113" xfId="0" applyFont="1" applyFill="1" applyBorder="1" applyAlignment="1" applyProtection="1">
      <alignment horizontal="center" vertical="center"/>
    </xf>
    <xf numFmtId="0" fontId="6" fillId="2" borderId="113" xfId="0" applyFont="1" applyFill="1" applyBorder="1" applyAlignment="1" applyProtection="1">
      <alignment horizontal="center" vertical="center" wrapText="1"/>
    </xf>
    <xf numFmtId="0" fontId="6" fillId="2" borderId="176" xfId="0" applyFont="1" applyFill="1" applyBorder="1" applyAlignment="1" applyProtection="1">
      <alignment horizontal="center" vertical="center"/>
    </xf>
    <xf numFmtId="0" fontId="57" fillId="0" borderId="113" xfId="0" applyFont="1" applyBorder="1" applyProtection="1">
      <protection locked="0"/>
    </xf>
    <xf numFmtId="0" fontId="2" fillId="0" borderId="0" xfId="0" applyFont="1"/>
    <xf numFmtId="0" fontId="6" fillId="0" borderId="0" xfId="0" applyFont="1" applyAlignment="1">
      <alignment vertical="center"/>
    </xf>
    <xf numFmtId="0" fontId="2" fillId="0" borderId="41" xfId="0" applyFont="1" applyBorder="1" applyAlignment="1" applyProtection="1">
      <alignment horizontal="left" vertical="center"/>
    </xf>
    <xf numFmtId="0" fontId="5" fillId="0" borderId="16" xfId="0" applyFont="1" applyFill="1" applyBorder="1" applyProtection="1"/>
    <xf numFmtId="165" fontId="9" fillId="19" borderId="207" xfId="3" applyNumberFormat="1" applyFont="1" applyFill="1" applyBorder="1" applyAlignment="1" applyProtection="1">
      <alignment horizontal="center" vertical="center"/>
    </xf>
    <xf numFmtId="0" fontId="35" fillId="0" borderId="0" xfId="0" applyFont="1" applyAlignment="1">
      <alignment vertical="center"/>
    </xf>
    <xf numFmtId="0" fontId="0" fillId="0" borderId="0" xfId="0" applyAlignment="1">
      <alignment vertical="center"/>
    </xf>
    <xf numFmtId="0" fontId="71" fillId="0" borderId="0" xfId="0" applyFont="1" applyAlignment="1">
      <alignment vertical="center"/>
    </xf>
    <xf numFmtId="0" fontId="72" fillId="0" borderId="0" xfId="0" applyFont="1" applyAlignment="1">
      <alignment vertical="center"/>
    </xf>
    <xf numFmtId="0" fontId="9" fillId="16" borderId="22" xfId="0" applyFont="1" applyFill="1" applyBorder="1" applyAlignment="1" applyProtection="1">
      <alignment horizontal="center"/>
    </xf>
    <xf numFmtId="0" fontId="9" fillId="5" borderId="164" xfId="4" applyFont="1" applyFill="1" applyBorder="1" applyAlignment="1" applyProtection="1">
      <alignment horizontal="center"/>
      <protection locked="0"/>
    </xf>
    <xf numFmtId="0" fontId="9" fillId="21" borderId="164" xfId="4" applyFont="1" applyFill="1" applyBorder="1" applyAlignment="1" applyProtection="1">
      <alignment horizontal="center"/>
      <protection locked="0"/>
    </xf>
    <xf numFmtId="164" fontId="17" fillId="6" borderId="113" xfId="1" applyFont="1" applyFill="1" applyBorder="1" applyAlignment="1" applyProtection="1">
      <alignment horizontal="center"/>
    </xf>
    <xf numFmtId="49" fontId="17" fillId="6" borderId="113" xfId="2" applyNumberFormat="1" applyFont="1" applyFill="1" applyBorder="1" applyAlignment="1" applyProtection="1">
      <alignment horizontal="center"/>
    </xf>
    <xf numFmtId="49" fontId="9" fillId="19" borderId="22" xfId="4" applyNumberFormat="1" applyFont="1" applyFill="1" applyBorder="1" applyAlignment="1" applyProtection="1">
      <alignment horizontal="center"/>
    </xf>
    <xf numFmtId="0" fontId="73" fillId="5" borderId="0" xfId="4" applyFont="1" applyFill="1" applyBorder="1" applyProtection="1"/>
    <xf numFmtId="169" fontId="73" fillId="5" borderId="0" xfId="4" applyNumberFormat="1" applyFont="1" applyFill="1" applyBorder="1" applyAlignment="1" applyProtection="1">
      <alignment horizontal="center"/>
    </xf>
    <xf numFmtId="0" fontId="64" fillId="6" borderId="0" xfId="4" applyFont="1" applyFill="1" applyBorder="1" applyProtection="1"/>
    <xf numFmtId="169" fontId="9" fillId="19" borderId="68" xfId="2" applyNumberFormat="1" applyFont="1" applyFill="1" applyBorder="1" applyAlignment="1" applyProtection="1">
      <alignment horizontal="center" vertical="center"/>
    </xf>
    <xf numFmtId="169" fontId="9" fillId="4" borderId="22" xfId="2" applyNumberFormat="1" applyFont="1" applyFill="1" applyBorder="1" applyAlignment="1" applyProtection="1">
      <alignment horizontal="center" vertical="center"/>
      <protection locked="0"/>
    </xf>
    <xf numFmtId="169" fontId="9" fillId="5" borderId="22" xfId="3" applyNumberFormat="1" applyFont="1" applyFill="1" applyBorder="1" applyAlignment="1" applyProtection="1">
      <alignment horizontal="center" vertical="center"/>
      <protection locked="0"/>
    </xf>
    <xf numFmtId="169" fontId="17" fillId="5" borderId="0" xfId="3" applyNumberFormat="1" applyFont="1" applyFill="1" applyBorder="1" applyProtection="1"/>
    <xf numFmtId="169" fontId="9" fillId="5" borderId="0" xfId="3" applyNumberFormat="1" applyFont="1" applyFill="1" applyBorder="1" applyProtection="1"/>
    <xf numFmtId="169" fontId="9" fillId="16" borderId="96" xfId="3" applyNumberFormat="1" applyFont="1" applyFill="1" applyBorder="1" applyAlignment="1" applyProtection="1">
      <alignment horizontal="center" vertical="center"/>
    </xf>
    <xf numFmtId="169" fontId="9" fillId="16" borderId="20" xfId="3" applyNumberFormat="1" applyFont="1" applyFill="1" applyBorder="1" applyAlignment="1" applyProtection="1">
      <alignment horizontal="center" vertical="center"/>
    </xf>
    <xf numFmtId="0" fontId="18" fillId="5" borderId="0" xfId="0" applyFont="1" applyFill="1" applyBorder="1" applyAlignment="1" applyProtection="1">
      <protection locked="0"/>
    </xf>
    <xf numFmtId="0" fontId="18" fillId="5" borderId="164" xfId="0" applyFont="1" applyFill="1" applyBorder="1" applyAlignment="1" applyProtection="1">
      <protection locked="0"/>
    </xf>
    <xf numFmtId="0" fontId="17" fillId="5" borderId="0" xfId="3" applyNumberFormat="1" applyFont="1" applyFill="1" applyBorder="1" applyProtection="1"/>
    <xf numFmtId="0" fontId="6" fillId="0" borderId="0" xfId="0" applyFont="1" applyAlignment="1">
      <alignment vertical="center" wrapText="1"/>
    </xf>
    <xf numFmtId="0" fontId="6" fillId="0" borderId="0" xfId="0" applyFont="1" applyAlignment="1">
      <alignment horizontal="right" vertical="center"/>
    </xf>
    <xf numFmtId="0" fontId="0" fillId="0" borderId="0" xfId="0" applyAlignment="1">
      <alignment horizontal="left" wrapText="1"/>
    </xf>
    <xf numFmtId="0" fontId="72" fillId="0" borderId="0" xfId="0" applyFont="1" applyAlignment="1">
      <alignment vertical="center" wrapText="1"/>
    </xf>
    <xf numFmtId="0" fontId="6" fillId="2" borderId="208" xfId="0" applyFont="1" applyFill="1" applyBorder="1" applyAlignment="1" applyProtection="1">
      <alignment horizontal="center" vertical="center"/>
    </xf>
    <xf numFmtId="0" fontId="6" fillId="0" borderId="208" xfId="0" applyFont="1" applyBorder="1" applyAlignment="1" applyProtection="1">
      <alignment horizontal="center" vertical="center"/>
      <protection locked="0"/>
    </xf>
    <xf numFmtId="0" fontId="6" fillId="20" borderId="208" xfId="0" applyFont="1" applyFill="1" applyBorder="1" applyAlignment="1" applyProtection="1">
      <alignment horizontal="center" vertical="center"/>
      <protection locked="0"/>
    </xf>
    <xf numFmtId="0" fontId="6" fillId="2" borderId="212" xfId="0" applyFont="1" applyFill="1" applyBorder="1" applyAlignment="1" applyProtection="1">
      <alignment horizontal="center" vertical="center"/>
    </xf>
    <xf numFmtId="0" fontId="6" fillId="2" borderId="173" xfId="0" applyFont="1" applyFill="1" applyBorder="1" applyProtection="1"/>
    <xf numFmtId="0" fontId="16" fillId="2" borderId="176" xfId="0" applyFont="1" applyFill="1" applyBorder="1" applyAlignment="1" applyProtection="1">
      <alignment horizontal="right"/>
    </xf>
    <xf numFmtId="0" fontId="6" fillId="2" borderId="177" xfId="0" applyFont="1" applyFill="1" applyBorder="1" applyAlignment="1" applyProtection="1">
      <alignment horizontal="right"/>
    </xf>
    <xf numFmtId="0" fontId="6" fillId="2" borderId="161" xfId="0" applyFont="1" applyFill="1" applyBorder="1" applyAlignment="1" applyProtection="1">
      <alignment horizontal="right"/>
    </xf>
    <xf numFmtId="0" fontId="6" fillId="20" borderId="208" xfId="0" applyFont="1" applyFill="1" applyBorder="1" applyAlignment="1" applyProtection="1">
      <alignment horizontal="center" vertical="center"/>
    </xf>
    <xf numFmtId="0" fontId="6" fillId="2" borderId="176" xfId="0" applyFont="1" applyFill="1" applyBorder="1" applyAlignment="1" applyProtection="1">
      <alignment horizontal="right"/>
    </xf>
    <xf numFmtId="0" fontId="0" fillId="2" borderId="113" xfId="0" applyFill="1" applyBorder="1" applyProtection="1"/>
    <xf numFmtId="0" fontId="5" fillId="0" borderId="191" xfId="0" applyFont="1" applyFill="1" applyBorder="1" applyProtection="1"/>
    <xf numFmtId="49" fontId="30" fillId="0" borderId="210" xfId="0" applyNumberFormat="1" applyFont="1" applyBorder="1" applyAlignment="1" applyProtection="1">
      <alignment horizontal="left"/>
    </xf>
    <xf numFmtId="0" fontId="30" fillId="0" borderId="210" xfId="0" applyFont="1" applyBorder="1" applyProtection="1"/>
    <xf numFmtId="0" fontId="0" fillId="0" borderId="210" xfId="0" applyBorder="1" applyProtection="1"/>
    <xf numFmtId="0" fontId="5" fillId="0" borderId="210" xfId="0" applyFont="1" applyBorder="1" applyProtection="1"/>
    <xf numFmtId="0" fontId="30" fillId="0" borderId="206" xfId="0" applyFont="1" applyBorder="1" applyAlignment="1" applyProtection="1">
      <alignment horizontal="right"/>
    </xf>
    <xf numFmtId="0" fontId="30" fillId="0" borderId="164" xfId="0" applyFont="1" applyBorder="1" applyAlignment="1" applyProtection="1">
      <alignment horizontal="left"/>
    </xf>
    <xf numFmtId="0" fontId="30" fillId="0" borderId="164" xfId="0" applyFont="1" applyBorder="1" applyProtection="1"/>
    <xf numFmtId="0" fontId="30" fillId="0" borderId="163" xfId="0" applyFont="1" applyBorder="1" applyAlignment="1" applyProtection="1">
      <alignment horizontal="right"/>
    </xf>
    <xf numFmtId="0" fontId="18" fillId="5" borderId="164" xfId="3" applyFont="1" applyFill="1" applyBorder="1" applyAlignment="1" applyProtection="1">
      <protection locked="0"/>
    </xf>
    <xf numFmtId="0" fontId="0" fillId="0" borderId="0" xfId="0" applyAlignment="1">
      <alignment horizontal="left" wrapText="1"/>
    </xf>
    <xf numFmtId="0" fontId="74" fillId="3" borderId="0" xfId="0" applyFont="1" applyFill="1" applyProtection="1"/>
    <xf numFmtId="0" fontId="0" fillId="33" borderId="113" xfId="0" applyFill="1" applyBorder="1"/>
    <xf numFmtId="0" fontId="0" fillId="0" borderId="0" xfId="0" applyAlignment="1">
      <alignment wrapText="1"/>
    </xf>
    <xf numFmtId="0" fontId="0" fillId="0" borderId="0" xfId="0" applyFill="1" applyBorder="1" applyProtection="1"/>
    <xf numFmtId="0" fontId="0" fillId="0" borderId="0" xfId="0" applyFill="1" applyProtection="1"/>
    <xf numFmtId="0" fontId="1" fillId="9" borderId="113" xfId="0" applyFont="1" applyFill="1" applyBorder="1" applyProtection="1"/>
    <xf numFmtId="0" fontId="78" fillId="5" borderId="0" xfId="3" applyFont="1" applyFill="1" applyBorder="1" applyProtection="1"/>
    <xf numFmtId="0" fontId="79" fillId="9" borderId="113" xfId="0" applyFont="1" applyFill="1" applyBorder="1" applyAlignment="1" applyProtection="1">
      <alignment horizontal="center" vertical="center"/>
    </xf>
    <xf numFmtId="0" fontId="79" fillId="9" borderId="113" xfId="0" quotePrefix="1" applyFont="1" applyFill="1" applyBorder="1" applyAlignment="1" applyProtection="1">
      <alignment horizontal="center" vertical="center"/>
    </xf>
    <xf numFmtId="0" fontId="77" fillId="5" borderId="0" xfId="3" applyFont="1" applyFill="1" applyBorder="1" applyProtection="1"/>
    <xf numFmtId="0" fontId="77" fillId="6" borderId="0" xfId="3" applyFont="1" applyFill="1" applyBorder="1" applyProtection="1"/>
    <xf numFmtId="49" fontId="77" fillId="6" borderId="0" xfId="3" applyNumberFormat="1" applyFont="1" applyFill="1" applyBorder="1" applyProtection="1"/>
    <xf numFmtId="2" fontId="77" fillId="6" borderId="0" xfId="3" quotePrefix="1" applyNumberFormat="1" applyFont="1" applyFill="1" applyBorder="1" applyProtection="1"/>
    <xf numFmtId="164" fontId="77" fillId="5" borderId="0" xfId="3" applyNumberFormat="1" applyFont="1" applyFill="1" applyBorder="1" applyProtection="1"/>
    <xf numFmtId="164" fontId="77" fillId="6" borderId="0" xfId="3" applyNumberFormat="1" applyFont="1" applyFill="1" applyBorder="1" applyProtection="1"/>
    <xf numFmtId="0" fontId="63" fillId="5" borderId="0" xfId="3" applyFont="1" applyFill="1" applyBorder="1" applyProtection="1"/>
    <xf numFmtId="0" fontId="63" fillId="6" borderId="113" xfId="3" applyFont="1" applyFill="1" applyBorder="1" applyAlignment="1" applyProtection="1">
      <alignment horizontal="center"/>
    </xf>
    <xf numFmtId="0" fontId="63" fillId="5" borderId="0" xfId="3" applyFont="1" applyFill="1" applyBorder="1" applyAlignment="1" applyProtection="1">
      <alignment horizontal="center"/>
    </xf>
    <xf numFmtId="49" fontId="63" fillId="5" borderId="0" xfId="3" applyNumberFormat="1" applyFont="1" applyFill="1" applyBorder="1" applyAlignment="1" applyProtection="1">
      <alignment horizontal="center"/>
    </xf>
    <xf numFmtId="49" fontId="78" fillId="5" borderId="0" xfId="3" applyNumberFormat="1" applyFont="1" applyFill="1" applyBorder="1" applyProtection="1"/>
    <xf numFmtId="0" fontId="77" fillId="3" borderId="0" xfId="3" applyFont="1" applyFill="1" applyBorder="1" applyProtection="1"/>
    <xf numFmtId="0" fontId="77" fillId="4" borderId="0" xfId="3" applyFont="1" applyFill="1" applyBorder="1" applyProtection="1"/>
    <xf numFmtId="0" fontId="0" fillId="9" borderId="113" xfId="0" applyFont="1" applyFill="1" applyBorder="1" applyProtection="1"/>
    <xf numFmtId="0" fontId="0" fillId="0" borderId="0" xfId="0" applyFont="1" applyBorder="1" applyProtection="1"/>
    <xf numFmtId="0" fontId="80" fillId="4" borderId="0" xfId="0" applyFont="1" applyFill="1" applyBorder="1" applyAlignment="1" applyProtection="1"/>
    <xf numFmtId="0" fontId="80" fillId="5" borderId="0" xfId="0" applyFont="1" applyFill="1" applyBorder="1" applyAlignment="1" applyProtection="1"/>
    <xf numFmtId="0" fontId="0" fillId="0" borderId="0" xfId="0" applyFont="1" applyFill="1" applyProtection="1"/>
    <xf numFmtId="0" fontId="80" fillId="0" borderId="0" xfId="0" applyFont="1" applyFill="1" applyBorder="1" applyAlignment="1" applyProtection="1"/>
    <xf numFmtId="0" fontId="19" fillId="0" borderId="0" xfId="0" applyFont="1" applyFill="1" applyBorder="1" applyAlignment="1" applyProtection="1"/>
    <xf numFmtId="0" fontId="81" fillId="0" borderId="0" xfId="0" applyFont="1" applyFill="1" applyBorder="1" applyAlignment="1" applyProtection="1"/>
    <xf numFmtId="0" fontId="44" fillId="0" borderId="0" xfId="0" applyFont="1" applyFill="1" applyBorder="1" applyAlignment="1" applyProtection="1"/>
    <xf numFmtId="0" fontId="0" fillId="0" borderId="0" xfId="0" applyFont="1" applyFill="1" applyBorder="1" applyProtection="1"/>
    <xf numFmtId="0" fontId="77" fillId="0" borderId="0" xfId="0" applyFont="1" applyFill="1" applyBorder="1" applyProtection="1"/>
    <xf numFmtId="0" fontId="77" fillId="0" borderId="0" xfId="0" applyFont="1" applyFill="1" applyBorder="1" applyAlignment="1" applyProtection="1"/>
    <xf numFmtId="0" fontId="0" fillId="9" borderId="213" xfId="0" applyFont="1" applyFill="1" applyBorder="1" applyProtection="1"/>
    <xf numFmtId="0" fontId="0" fillId="9" borderId="210" xfId="0" applyFont="1" applyFill="1" applyBorder="1" applyProtection="1"/>
    <xf numFmtId="0" fontId="0" fillId="9" borderId="206" xfId="0" applyFont="1" applyFill="1" applyBorder="1" applyProtection="1"/>
    <xf numFmtId="0" fontId="0" fillId="9" borderId="173" xfId="0" applyFont="1" applyFill="1" applyBorder="1" applyProtection="1"/>
    <xf numFmtId="0" fontId="0" fillId="9" borderId="0" xfId="0" applyFont="1" applyFill="1" applyBorder="1" applyProtection="1"/>
    <xf numFmtId="0" fontId="0" fillId="9" borderId="182" xfId="0" applyFont="1" applyFill="1" applyBorder="1" applyProtection="1"/>
    <xf numFmtId="0" fontId="0" fillId="9" borderId="162" xfId="0" applyFont="1" applyFill="1" applyBorder="1" applyProtection="1"/>
    <xf numFmtId="0" fontId="0" fillId="9" borderId="164" xfId="0" applyFont="1" applyFill="1" applyBorder="1" applyProtection="1"/>
    <xf numFmtId="0" fontId="0" fillId="9" borderId="163" xfId="0" applyFont="1" applyFill="1" applyBorder="1" applyProtection="1"/>
    <xf numFmtId="0" fontId="9" fillId="9" borderId="212" xfId="6" applyFont="1" applyFill="1" applyBorder="1" applyAlignment="1" applyProtection="1"/>
    <xf numFmtId="0" fontId="9" fillId="9" borderId="161" xfId="6" applyFont="1" applyFill="1" applyBorder="1" applyAlignment="1" applyProtection="1"/>
    <xf numFmtId="0" fontId="41" fillId="0" borderId="0" xfId="0" applyFont="1" applyFill="1" applyBorder="1" applyProtection="1"/>
    <xf numFmtId="0" fontId="17" fillId="0" borderId="0" xfId="0" applyFont="1" applyFill="1" applyBorder="1" applyProtection="1"/>
    <xf numFmtId="0" fontId="74" fillId="0" borderId="0" xfId="0" applyFont="1"/>
    <xf numFmtId="0" fontId="0" fillId="0" borderId="214" xfId="0" applyBorder="1" applyProtection="1"/>
    <xf numFmtId="0" fontId="9" fillId="2" borderId="209" xfId="6" applyFont="1" applyFill="1" applyBorder="1" applyAlignment="1" applyProtection="1">
      <alignment horizontal="center" vertical="center" wrapText="1"/>
    </xf>
    <xf numFmtId="0" fontId="9" fillId="3" borderId="0" xfId="0" applyFont="1" applyFill="1" applyProtection="1">
      <protection locked="0"/>
    </xf>
    <xf numFmtId="0" fontId="13" fillId="4" borderId="0" xfId="0" applyFont="1" applyFill="1" applyBorder="1" applyAlignment="1" applyProtection="1">
      <protection locked="0"/>
    </xf>
    <xf numFmtId="0" fontId="79" fillId="0" borderId="0" xfId="0" applyFont="1"/>
    <xf numFmtId="0" fontId="9" fillId="7" borderId="113" xfId="0" applyFont="1" applyFill="1" applyBorder="1" applyAlignment="1" applyProtection="1">
      <alignment horizontal="center" vertical="center" wrapText="1"/>
      <protection locked="0"/>
    </xf>
    <xf numFmtId="0" fontId="74" fillId="0" borderId="0" xfId="0" applyFont="1" applyAlignment="1" applyProtection="1">
      <alignment horizontal="left"/>
    </xf>
    <xf numFmtId="0" fontId="0" fillId="0" borderId="161" xfId="0" applyBorder="1" applyAlignment="1">
      <alignment horizontal="center" vertical="center" wrapText="1"/>
    </xf>
    <xf numFmtId="0" fontId="0" fillId="0" borderId="113" xfId="0" applyBorder="1" applyAlignment="1">
      <alignment horizontal="center" vertical="center"/>
    </xf>
    <xf numFmtId="0" fontId="0" fillId="0" borderId="113" xfId="0" applyBorder="1" applyAlignment="1">
      <alignment horizontal="center" vertical="center" wrapText="1"/>
    </xf>
    <xf numFmtId="0" fontId="0" fillId="0" borderId="161" xfId="0" applyBorder="1" applyAlignment="1">
      <alignment horizontal="center" vertical="center"/>
    </xf>
    <xf numFmtId="0" fontId="0" fillId="0" borderId="177" xfId="0" applyBorder="1" applyAlignment="1">
      <alignment horizontal="center" vertical="center" wrapText="1"/>
    </xf>
    <xf numFmtId="0" fontId="2" fillId="0" borderId="176" xfId="0" applyFont="1" applyBorder="1"/>
    <xf numFmtId="0" fontId="0" fillId="0" borderId="113" xfId="0" quotePrefix="1" applyBorder="1" applyAlignment="1">
      <alignment horizontal="left"/>
    </xf>
    <xf numFmtId="0" fontId="0" fillId="0" borderId="113" xfId="0" applyBorder="1" applyAlignment="1">
      <alignment horizontal="left"/>
    </xf>
    <xf numFmtId="0" fontId="0" fillId="0" borderId="176" xfId="0" applyBorder="1" applyAlignment="1">
      <alignment horizontal="center" vertical="center"/>
    </xf>
    <xf numFmtId="0" fontId="0" fillId="0" borderId="176" xfId="0" quotePrefix="1" applyBorder="1" applyAlignment="1">
      <alignment horizontal="left"/>
    </xf>
    <xf numFmtId="0" fontId="0" fillId="0" borderId="161" xfId="0" applyBorder="1" applyAlignment="1">
      <alignment horizontal="left"/>
    </xf>
    <xf numFmtId="0" fontId="0" fillId="0" borderId="176" xfId="0" applyBorder="1" applyAlignment="1">
      <alignment horizontal="center" vertical="center" wrapText="1"/>
    </xf>
    <xf numFmtId="2" fontId="26" fillId="30" borderId="0" xfId="0" applyNumberFormat="1" applyFont="1" applyFill="1" applyBorder="1" applyAlignment="1" applyProtection="1"/>
    <xf numFmtId="167" fontId="26" fillId="30" borderId="0" xfId="0" applyNumberFormat="1" applyFont="1" applyFill="1" applyBorder="1" applyAlignment="1" applyProtection="1"/>
    <xf numFmtId="0" fontId="83" fillId="0" borderId="0" xfId="0" applyFont="1" applyProtection="1"/>
    <xf numFmtId="0" fontId="8" fillId="4" borderId="0" xfId="0" applyFont="1" applyFill="1" applyBorder="1" applyAlignment="1" applyProtection="1"/>
    <xf numFmtId="0" fontId="82" fillId="4" borderId="0" xfId="0" applyFont="1" applyFill="1" applyBorder="1" applyAlignment="1" applyProtection="1"/>
    <xf numFmtId="0" fontId="27" fillId="4" borderId="0" xfId="0" applyFont="1" applyFill="1" applyBorder="1" applyAlignment="1" applyProtection="1"/>
    <xf numFmtId="0" fontId="26" fillId="4" borderId="0" xfId="0" applyFont="1" applyFill="1" applyBorder="1" applyAlignment="1" applyProtection="1"/>
    <xf numFmtId="0" fontId="9" fillId="2" borderId="209" xfId="0" applyFont="1" applyFill="1" applyBorder="1" applyAlignment="1" applyProtection="1">
      <alignment horizontal="center"/>
    </xf>
    <xf numFmtId="0" fontId="0" fillId="2" borderId="73" xfId="0" applyFill="1" applyBorder="1" applyAlignment="1" applyProtection="1">
      <alignment horizontal="center"/>
    </xf>
    <xf numFmtId="0" fontId="9" fillId="16" borderId="213" xfId="0" applyFont="1" applyFill="1" applyBorder="1" applyAlignment="1" applyProtection="1">
      <alignment horizontal="center" vertical="center"/>
    </xf>
    <xf numFmtId="0" fontId="0" fillId="2" borderId="173" xfId="0" applyFill="1" applyBorder="1" applyProtection="1"/>
    <xf numFmtId="0" fontId="0" fillId="2" borderId="162" xfId="0" applyFill="1" applyBorder="1" applyProtection="1"/>
    <xf numFmtId="165" fontId="9" fillId="22" borderId="113" xfId="0" applyNumberFormat="1" applyFont="1" applyFill="1" applyBorder="1" applyAlignment="1" applyProtection="1">
      <alignment horizontal="center"/>
    </xf>
    <xf numFmtId="0" fontId="0" fillId="2" borderId="164" xfId="0" applyFill="1" applyBorder="1" applyProtection="1"/>
    <xf numFmtId="0" fontId="0" fillId="2" borderId="163" xfId="0" applyFill="1" applyBorder="1" applyProtection="1"/>
    <xf numFmtId="0" fontId="9" fillId="7" borderId="221" xfId="0" applyFont="1" applyFill="1" applyBorder="1" applyAlignment="1" applyProtection="1">
      <alignment horizontal="center"/>
    </xf>
    <xf numFmtId="0" fontId="9" fillId="7" borderId="219" xfId="0" applyFont="1" applyFill="1" applyBorder="1" applyAlignment="1" applyProtection="1">
      <alignment horizontal="center"/>
    </xf>
    <xf numFmtId="0" fontId="9" fillId="7" borderId="104" xfId="0" applyFont="1" applyFill="1" applyBorder="1" applyAlignment="1" applyProtection="1">
      <alignment horizontal="center"/>
    </xf>
    <xf numFmtId="165" fontId="9" fillId="7" borderId="216" xfId="0" applyNumberFormat="1" applyFont="1" applyFill="1" applyBorder="1" applyAlignment="1" applyProtection="1">
      <alignment horizontal="center"/>
    </xf>
    <xf numFmtId="0" fontId="9" fillId="16" borderId="217" xfId="0" applyFont="1" applyFill="1" applyBorder="1" applyAlignment="1" applyProtection="1">
      <alignment horizontal="center"/>
    </xf>
    <xf numFmtId="0" fontId="6" fillId="2" borderId="209" xfId="0" applyFont="1" applyFill="1" applyBorder="1" applyProtection="1"/>
    <xf numFmtId="0" fontId="9" fillId="7" borderId="222" xfId="0" applyFont="1" applyFill="1" applyBorder="1" applyAlignment="1" applyProtection="1">
      <alignment horizontal="right"/>
    </xf>
    <xf numFmtId="165" fontId="9" fillId="19" borderId="223" xfId="0" applyNumberFormat="1" applyFont="1" applyFill="1" applyBorder="1" applyAlignment="1" applyProtection="1">
      <alignment horizontal="center"/>
    </xf>
    <xf numFmtId="0" fontId="9" fillId="2" borderId="30" xfId="0" applyFont="1" applyFill="1" applyBorder="1" applyAlignment="1" applyProtection="1">
      <alignment horizontal="center"/>
    </xf>
    <xf numFmtId="0" fontId="9" fillId="16" borderId="217" xfId="0" applyFont="1" applyFill="1" applyBorder="1" applyAlignment="1" applyProtection="1">
      <alignment vertical="center"/>
    </xf>
    <xf numFmtId="0" fontId="0" fillId="2" borderId="220" xfId="0" applyFill="1" applyBorder="1" applyProtection="1"/>
    <xf numFmtId="0" fontId="0" fillId="2" borderId="218" xfId="0" applyFill="1" applyBorder="1" applyProtection="1"/>
    <xf numFmtId="0" fontId="0" fillId="2" borderId="225" xfId="0" applyFill="1" applyBorder="1" applyProtection="1"/>
    <xf numFmtId="0" fontId="9" fillId="16" borderId="224" xfId="0" applyFont="1" applyFill="1" applyBorder="1" applyAlignment="1" applyProtection="1">
      <alignment horizontal="center" vertical="center"/>
    </xf>
    <xf numFmtId="0" fontId="0" fillId="2" borderId="182" xfId="0" applyFill="1" applyBorder="1" applyProtection="1"/>
    <xf numFmtId="0" fontId="9" fillId="16" borderId="224" xfId="0" applyFont="1" applyFill="1" applyBorder="1" applyAlignment="1" applyProtection="1">
      <alignment horizontal="center"/>
    </xf>
    <xf numFmtId="0" fontId="0" fillId="2" borderId="224" xfId="0" applyFill="1" applyBorder="1" applyProtection="1"/>
    <xf numFmtId="0" fontId="9" fillId="16" borderId="92" xfId="3" applyFont="1" applyFill="1" applyBorder="1" applyAlignment="1" applyProtection="1">
      <alignment horizontal="center" vertical="center"/>
    </xf>
    <xf numFmtId="0" fontId="9" fillId="16" borderId="224" xfId="3" applyFont="1" applyFill="1" applyBorder="1" applyAlignment="1" applyProtection="1">
      <alignment horizontal="center" vertical="center"/>
    </xf>
    <xf numFmtId="0" fontId="9" fillId="7" borderId="224" xfId="3" applyFont="1" applyFill="1" applyBorder="1" applyAlignment="1" applyProtection="1">
      <alignment horizontal="center" vertical="center"/>
    </xf>
    <xf numFmtId="0" fontId="9" fillId="4" borderId="0" xfId="3" applyFont="1" applyFill="1" applyBorder="1" applyAlignment="1" applyProtection="1">
      <alignment horizontal="center" vertical="center"/>
    </xf>
    <xf numFmtId="165" fontId="9" fillId="19" borderId="30" xfId="0" applyNumberFormat="1" applyFont="1" applyFill="1" applyBorder="1" applyAlignment="1" applyProtection="1">
      <alignment horizontal="center"/>
    </xf>
    <xf numFmtId="165" fontId="0" fillId="2" borderId="224" xfId="0" applyNumberFormat="1" applyFill="1" applyBorder="1" applyAlignment="1" applyProtection="1">
      <alignment horizontal="center"/>
    </xf>
    <xf numFmtId="0" fontId="13" fillId="13" borderId="113" xfId="0" applyFont="1" applyFill="1" applyBorder="1" applyAlignment="1" applyProtection="1">
      <alignment horizontal="center"/>
    </xf>
    <xf numFmtId="0" fontId="0" fillId="2" borderId="225" xfId="0" applyFill="1" applyBorder="1" applyAlignment="1" applyProtection="1">
      <alignment horizontal="center" vertical="center"/>
    </xf>
    <xf numFmtId="0" fontId="0" fillId="2" borderId="163" xfId="0" applyFill="1" applyBorder="1" applyAlignment="1" applyProtection="1">
      <alignment horizontal="center" vertical="center"/>
    </xf>
    <xf numFmtId="0" fontId="74" fillId="0" borderId="0" xfId="0" applyFont="1" applyBorder="1" applyProtection="1"/>
    <xf numFmtId="0" fontId="6" fillId="37" borderId="22" xfId="0" applyFont="1" applyFill="1" applyBorder="1" applyAlignment="1" applyProtection="1">
      <alignment horizontal="center" vertical="center"/>
      <protection locked="0"/>
    </xf>
    <xf numFmtId="0" fontId="9" fillId="7" borderId="113" xfId="0" applyFont="1" applyFill="1" applyBorder="1" applyAlignment="1" applyProtection="1">
      <alignment horizontal="right"/>
    </xf>
    <xf numFmtId="0" fontId="9" fillId="7" borderId="227" xfId="0" applyFont="1" applyFill="1" applyBorder="1" applyAlignment="1" applyProtection="1">
      <alignment horizontal="center"/>
    </xf>
    <xf numFmtId="0" fontId="31" fillId="2" borderId="217" xfId="0" applyFont="1" applyFill="1" applyBorder="1" applyAlignment="1" applyProtection="1">
      <alignment horizontal="center"/>
    </xf>
    <xf numFmtId="0" fontId="6" fillId="0" borderId="217" xfId="0" applyFont="1" applyBorder="1" applyAlignment="1" applyProtection="1">
      <alignment horizontal="center" vertical="center"/>
      <protection locked="0"/>
    </xf>
    <xf numFmtId="0" fontId="80" fillId="0" borderId="113" xfId="0" applyFont="1" applyFill="1" applyBorder="1" applyAlignment="1" applyProtection="1"/>
    <xf numFmtId="0" fontId="0" fillId="0" borderId="113" xfId="0" applyFont="1" applyBorder="1" applyProtection="1"/>
    <xf numFmtId="2" fontId="9" fillId="19" borderId="73" xfId="0" applyNumberFormat="1" applyFont="1" applyFill="1" applyBorder="1" applyAlignment="1" applyProtection="1">
      <alignment horizontal="center"/>
    </xf>
    <xf numFmtId="0" fontId="74" fillId="0" borderId="0" xfId="0" applyFont="1" applyFill="1" applyBorder="1" applyProtection="1"/>
    <xf numFmtId="0" fontId="6" fillId="29" borderId="113" xfId="0" applyFont="1" applyFill="1" applyBorder="1" applyAlignment="1" applyProtection="1">
      <alignment horizontal="center" vertical="center"/>
    </xf>
    <xf numFmtId="0" fontId="0" fillId="0" borderId="0" xfId="0" applyBorder="1" applyAlignment="1" applyProtection="1">
      <alignment horizontal="center"/>
      <protection locked="0"/>
    </xf>
    <xf numFmtId="0" fontId="0" fillId="0" borderId="217" xfId="0" applyBorder="1" applyAlignment="1" applyProtection="1">
      <alignment horizontal="center"/>
      <protection locked="0"/>
    </xf>
    <xf numFmtId="165" fontId="0" fillId="0" borderId="113" xfId="0" applyNumberFormat="1" applyBorder="1" applyAlignment="1" applyProtection="1">
      <alignment horizontal="center"/>
      <protection locked="0"/>
    </xf>
    <xf numFmtId="165" fontId="9" fillId="38" borderId="113" xfId="0" applyNumberFormat="1" applyFont="1" applyFill="1" applyBorder="1" applyAlignment="1" applyProtection="1">
      <alignment horizontal="center"/>
      <protection locked="0"/>
    </xf>
    <xf numFmtId="0" fontId="84" fillId="34" borderId="113" xfId="0" applyFont="1" applyFill="1" applyBorder="1" applyAlignment="1" applyProtection="1">
      <alignment horizontal="center" vertical="center" wrapText="1"/>
    </xf>
    <xf numFmtId="0" fontId="84" fillId="34" borderId="113" xfId="0" applyFont="1" applyFill="1" applyBorder="1" applyAlignment="1" applyProtection="1">
      <alignment vertical="center" wrapText="1"/>
    </xf>
    <xf numFmtId="0" fontId="85" fillId="35" borderId="113" xfId="0" applyFont="1" applyFill="1" applyBorder="1" applyAlignment="1" applyProtection="1">
      <alignment vertical="center" wrapText="1"/>
    </xf>
    <xf numFmtId="0" fontId="85" fillId="35" borderId="113" xfId="0" applyFont="1" applyFill="1" applyBorder="1" applyAlignment="1" applyProtection="1">
      <alignment horizontal="center" vertical="center" wrapText="1"/>
    </xf>
    <xf numFmtId="0" fontId="85" fillId="36" borderId="113" xfId="0" applyFont="1" applyFill="1" applyBorder="1" applyAlignment="1" applyProtection="1">
      <alignment vertical="center" wrapText="1"/>
    </xf>
    <xf numFmtId="0" fontId="85" fillId="36" borderId="113" xfId="0" applyFont="1" applyFill="1" applyBorder="1" applyAlignment="1" applyProtection="1">
      <alignment horizontal="center" vertical="center" wrapText="1"/>
    </xf>
    <xf numFmtId="0" fontId="9" fillId="13" borderId="209" xfId="0" applyFont="1" applyFill="1" applyBorder="1" applyAlignment="1" applyProtection="1">
      <alignment horizontal="center" vertical="center"/>
      <protection locked="0"/>
    </xf>
    <xf numFmtId="0" fontId="0" fillId="0" borderId="113" xfId="0" applyBorder="1" applyProtection="1">
      <protection locked="0"/>
    </xf>
    <xf numFmtId="0" fontId="0" fillId="0" borderId="224" xfId="0" applyBorder="1" applyAlignment="1" applyProtection="1">
      <alignment horizontal="center"/>
      <protection locked="0"/>
    </xf>
    <xf numFmtId="0" fontId="9" fillId="13" borderId="224" xfId="0" applyFont="1" applyFill="1" applyBorder="1" applyAlignment="1" applyProtection="1">
      <alignment vertical="center"/>
      <protection locked="0"/>
    </xf>
    <xf numFmtId="0" fontId="0" fillId="0" borderId="224" xfId="0" applyBorder="1" applyProtection="1">
      <protection locked="0"/>
    </xf>
    <xf numFmtId="0" fontId="9" fillId="4" borderId="226" xfId="3" applyFont="1" applyFill="1" applyBorder="1" applyAlignment="1" applyProtection="1">
      <alignment horizontal="center" vertical="center"/>
      <protection locked="0"/>
    </xf>
    <xf numFmtId="0" fontId="9" fillId="4" borderId="113" xfId="3" applyFont="1" applyFill="1" applyBorder="1" applyAlignment="1" applyProtection="1">
      <alignment horizontal="center" vertical="center"/>
      <protection locked="0"/>
    </xf>
    <xf numFmtId="169" fontId="9" fillId="4" borderId="224" xfId="2" applyNumberFormat="1" applyFont="1" applyFill="1" applyBorder="1" applyAlignment="1" applyProtection="1">
      <alignment horizontal="center" vertical="center"/>
      <protection locked="0"/>
    </xf>
    <xf numFmtId="0" fontId="0" fillId="14" borderId="227" xfId="0" applyFill="1" applyBorder="1" applyAlignment="1" applyProtection="1">
      <alignment horizontal="center" vertical="center"/>
    </xf>
    <xf numFmtId="0" fontId="0" fillId="14" borderId="81" xfId="0" applyFill="1" applyBorder="1" applyAlignment="1" applyProtection="1">
      <alignment horizontal="center"/>
    </xf>
    <xf numFmtId="0" fontId="0" fillId="14" borderId="82" xfId="0" applyFill="1" applyBorder="1" applyAlignment="1" applyProtection="1">
      <alignment horizontal="center"/>
    </xf>
    <xf numFmtId="0" fontId="0" fillId="14" borderId="228" xfId="0" applyFill="1" applyBorder="1" applyProtection="1"/>
    <xf numFmtId="0" fontId="0" fillId="14" borderId="193" xfId="0" applyFill="1" applyBorder="1" applyProtection="1"/>
    <xf numFmtId="0" fontId="0" fillId="0" borderId="229" xfId="0" applyBorder="1" applyAlignment="1" applyProtection="1">
      <alignment horizontal="center"/>
    </xf>
    <xf numFmtId="0" fontId="0" fillId="0" borderId="230" xfId="0" applyBorder="1" applyAlignment="1" applyProtection="1">
      <alignment horizontal="center" vertical="center"/>
    </xf>
    <xf numFmtId="0" fontId="74" fillId="14" borderId="0" xfId="0" applyFont="1" applyFill="1" applyProtection="1"/>
    <xf numFmtId="171" fontId="0" fillId="0" borderId="227" xfId="1" applyNumberFormat="1" applyFont="1" applyBorder="1" applyProtection="1"/>
    <xf numFmtId="171" fontId="0" fillId="0" borderId="231" xfId="1" applyNumberFormat="1" applyFont="1" applyBorder="1" applyProtection="1"/>
    <xf numFmtId="0" fontId="0" fillId="14" borderId="113" xfId="0" applyFill="1" applyBorder="1" applyAlignment="1" applyProtection="1">
      <alignment wrapText="1"/>
    </xf>
    <xf numFmtId="0" fontId="86" fillId="11" borderId="85" xfId="0" applyFont="1" applyFill="1" applyBorder="1" applyAlignment="1" applyProtection="1">
      <alignment horizontal="center" vertical="center" wrapText="1"/>
    </xf>
    <xf numFmtId="0" fontId="87" fillId="10" borderId="85" xfId="0" applyFont="1" applyFill="1" applyBorder="1" applyAlignment="1" applyProtection="1">
      <alignment horizontal="center" vertical="center" wrapText="1"/>
    </xf>
    <xf numFmtId="0" fontId="86" fillId="10" borderId="85" xfId="0" applyFont="1" applyFill="1" applyBorder="1" applyAlignment="1" applyProtection="1">
      <alignment horizontal="center" vertical="center" wrapText="1"/>
    </xf>
    <xf numFmtId="165" fontId="6" fillId="0" borderId="113" xfId="0" applyNumberFormat="1" applyFont="1" applyBorder="1" applyAlignment="1" applyProtection="1">
      <alignment horizontal="center" vertical="center"/>
      <protection locked="0"/>
    </xf>
    <xf numFmtId="169" fontId="6" fillId="20" borderId="113" xfId="2" applyNumberFormat="1" applyFont="1" applyFill="1" applyBorder="1" applyAlignment="1" applyProtection="1">
      <alignment horizontal="center" vertical="center"/>
    </xf>
    <xf numFmtId="0" fontId="0" fillId="9" borderId="0" xfId="0" applyFill="1"/>
    <xf numFmtId="0" fontId="6" fillId="37" borderId="113" xfId="0" applyFont="1" applyFill="1" applyBorder="1" applyAlignment="1" applyProtection="1">
      <alignment horizontal="center" vertical="center"/>
      <protection locked="0"/>
    </xf>
    <xf numFmtId="0" fontId="9" fillId="5" borderId="113" xfId="3" applyFont="1" applyFill="1" applyBorder="1" applyAlignment="1" applyProtection="1">
      <alignment horizontal="center" vertical="center"/>
      <protection locked="0"/>
    </xf>
    <xf numFmtId="165" fontId="6" fillId="0" borderId="226" xfId="0" applyNumberFormat="1" applyFont="1" applyBorder="1" applyAlignment="1" applyProtection="1">
      <alignment horizontal="center" vertical="center"/>
      <protection locked="0"/>
    </xf>
    <xf numFmtId="0" fontId="6" fillId="3" borderId="113" xfId="0" applyFont="1" applyFill="1" applyBorder="1" applyAlignment="1" applyProtection="1">
      <alignment horizontal="center" vertical="center"/>
      <protection locked="0"/>
    </xf>
    <xf numFmtId="0" fontId="6" fillId="20" borderId="226" xfId="0" applyFont="1" applyFill="1" applyBorder="1" applyAlignment="1" applyProtection="1">
      <alignment horizontal="center" vertical="center"/>
      <protection locked="0"/>
    </xf>
    <xf numFmtId="0" fontId="18" fillId="5" borderId="0" xfId="0" applyFont="1" applyFill="1" applyProtection="1">
      <protection locked="0"/>
    </xf>
    <xf numFmtId="0" fontId="18" fillId="5" borderId="234" xfId="0" applyFont="1" applyFill="1" applyBorder="1" applyProtection="1">
      <protection locked="0"/>
    </xf>
    <xf numFmtId="0" fontId="0" fillId="0" borderId="0" xfId="0"/>
    <xf numFmtId="0" fontId="6" fillId="0" borderId="0" xfId="0" applyFont="1"/>
    <xf numFmtId="0" fontId="0" fillId="0" borderId="0" xfId="0" applyProtection="1">
      <protection locked="0"/>
    </xf>
    <xf numFmtId="0" fontId="9" fillId="5" borderId="113" xfId="0" applyFont="1" applyFill="1" applyBorder="1" applyAlignment="1" applyProtection="1">
      <alignment horizontal="center" vertical="center"/>
      <protection locked="0"/>
    </xf>
    <xf numFmtId="0" fontId="0" fillId="0" borderId="0" xfId="0" applyProtection="1"/>
    <xf numFmtId="0" fontId="0" fillId="0" borderId="0" xfId="0" applyFont="1" applyProtection="1"/>
    <xf numFmtId="0" fontId="0" fillId="0" borderId="0" xfId="0" applyBorder="1" applyProtection="1"/>
    <xf numFmtId="0" fontId="22" fillId="4" borderId="0" xfId="0" applyFont="1" applyFill="1" applyBorder="1" applyAlignment="1" applyProtection="1">
      <alignment horizontal="center"/>
    </xf>
    <xf numFmtId="0" fontId="0" fillId="9" borderId="0" xfId="0" applyFill="1" applyProtection="1"/>
    <xf numFmtId="0" fontId="0" fillId="3" borderId="0" xfId="0" applyFill="1" applyProtection="1"/>
    <xf numFmtId="0" fontId="4" fillId="0" borderId="0" xfId="0" applyFont="1" applyBorder="1" applyProtection="1"/>
    <xf numFmtId="0" fontId="9" fillId="5" borderId="0" xfId="0" applyFont="1" applyFill="1" applyBorder="1" applyAlignment="1" applyProtection="1">
      <alignment horizontal="center"/>
    </xf>
    <xf numFmtId="0" fontId="6" fillId="26" borderId="0" xfId="0" applyFont="1" applyFill="1" applyAlignment="1" applyProtection="1">
      <alignment horizontal="center"/>
    </xf>
    <xf numFmtId="0" fontId="9" fillId="0" borderId="113" xfId="5" applyFont="1" applyBorder="1" applyAlignment="1" applyProtection="1">
      <alignment horizontal="center"/>
      <protection locked="0"/>
    </xf>
    <xf numFmtId="2" fontId="9" fillId="0" borderId="113" xfId="6" applyNumberFormat="1" applyFont="1" applyBorder="1" applyAlignment="1" applyProtection="1">
      <alignment horizontal="center"/>
      <protection locked="0"/>
    </xf>
    <xf numFmtId="0" fontId="6" fillId="3" borderId="0" xfId="0" applyFont="1" applyFill="1" applyBorder="1" applyAlignment="1" applyProtection="1">
      <alignment horizontal="right"/>
    </xf>
    <xf numFmtId="0" fontId="17" fillId="0" borderId="0" xfId="6" applyFont="1" applyAlignment="1" applyProtection="1"/>
    <xf numFmtId="172" fontId="17" fillId="0" borderId="0" xfId="6" applyNumberFormat="1" applyFont="1" applyAlignment="1" applyProtection="1"/>
    <xf numFmtId="173" fontId="17" fillId="0" borderId="0" xfId="6" applyNumberFormat="1" applyFont="1" applyAlignment="1" applyProtection="1"/>
    <xf numFmtId="0" fontId="17" fillId="0" borderId="0" xfId="6" applyFont="1" applyAlignment="1" applyProtection="1">
      <alignment horizontal="right"/>
    </xf>
    <xf numFmtId="2" fontId="6" fillId="9" borderId="177" xfId="0" applyNumberFormat="1" applyFont="1" applyFill="1" applyBorder="1" applyAlignment="1" applyProtection="1">
      <alignment horizontal="center"/>
    </xf>
    <xf numFmtId="167" fontId="17" fillId="0" borderId="0" xfId="6" applyNumberFormat="1" applyFont="1" applyAlignment="1" applyProtection="1"/>
    <xf numFmtId="0" fontId="14" fillId="0" borderId="0" xfId="7" applyFont="1" applyAlignment="1" applyProtection="1"/>
    <xf numFmtId="0" fontId="13" fillId="0" borderId="0" xfId="6" applyFont="1" applyFill="1" applyAlignment="1" applyProtection="1"/>
    <xf numFmtId="0" fontId="17" fillId="0" borderId="0" xfId="6" applyFont="1" applyAlignment="1" applyProtection="1">
      <alignment horizontal="center"/>
    </xf>
    <xf numFmtId="0" fontId="9" fillId="0" borderId="113" xfId="6" applyFont="1" applyBorder="1" applyAlignment="1" applyProtection="1">
      <alignment horizontal="center" vertical="center"/>
    </xf>
    <xf numFmtId="0" fontId="9" fillId="0" borderId="113" xfId="6" applyFont="1" applyBorder="1" applyAlignment="1" applyProtection="1">
      <alignment horizontal="center" wrapText="1"/>
    </xf>
    <xf numFmtId="9" fontId="17" fillId="0" borderId="0" xfId="6" quotePrefix="1" applyNumberFormat="1" applyFont="1" applyAlignment="1" applyProtection="1">
      <alignment horizontal="center"/>
    </xf>
    <xf numFmtId="0" fontId="9" fillId="0" borderId="113" xfId="6" applyFont="1" applyBorder="1" applyAlignment="1" applyProtection="1">
      <alignment horizontal="center"/>
    </xf>
    <xf numFmtId="2" fontId="17" fillId="0" borderId="0" xfId="6" applyNumberFormat="1" applyFont="1" applyAlignment="1" applyProtection="1"/>
    <xf numFmtId="167" fontId="17" fillId="0" borderId="0" xfId="6" applyNumberFormat="1" applyFont="1" applyAlignment="1" applyProtection="1">
      <alignment horizontal="left"/>
    </xf>
    <xf numFmtId="0" fontId="0" fillId="9" borderId="177" xfId="0" applyFill="1" applyBorder="1" applyAlignment="1" applyProtection="1">
      <alignment horizontal="center"/>
    </xf>
    <xf numFmtId="0" fontId="0" fillId="9" borderId="0" xfId="0" applyFill="1" applyBorder="1" applyProtection="1"/>
    <xf numFmtId="168" fontId="0" fillId="9" borderId="0" xfId="0" applyNumberFormat="1" applyFill="1" applyBorder="1" applyProtection="1"/>
    <xf numFmtId="167" fontId="17" fillId="9" borderId="0" xfId="6" applyNumberFormat="1" applyFont="1" applyFill="1" applyAlignment="1" applyProtection="1"/>
    <xf numFmtId="168" fontId="17" fillId="9" borderId="0" xfId="6" applyNumberFormat="1" applyFont="1" applyFill="1" applyAlignment="1" applyProtection="1"/>
    <xf numFmtId="0" fontId="0" fillId="9" borderId="0" xfId="0" applyFill="1" applyBorder="1" applyAlignment="1" applyProtection="1">
      <alignment horizontal="center"/>
    </xf>
    <xf numFmtId="2" fontId="9" fillId="24" borderId="113" xfId="7" applyNumberFormat="1" applyFont="1" applyFill="1" applyBorder="1" applyAlignment="1" applyProtection="1">
      <alignment horizontal="center"/>
    </xf>
    <xf numFmtId="165" fontId="9" fillId="24" borderId="113" xfId="7" applyNumberFormat="1" applyFont="1" applyFill="1" applyBorder="1" applyAlignment="1" applyProtection="1">
      <alignment horizontal="center"/>
    </xf>
    <xf numFmtId="0" fontId="9" fillId="20" borderId="113" xfId="7" applyFont="1" applyFill="1" applyBorder="1" applyAlignment="1" applyProtection="1">
      <alignment horizontal="center"/>
    </xf>
    <xf numFmtId="0" fontId="0" fillId="9" borderId="174" xfId="0" applyFill="1" applyBorder="1" applyAlignment="1" applyProtection="1">
      <alignment horizontal="center"/>
    </xf>
    <xf numFmtId="0" fontId="0" fillId="9" borderId="175" xfId="0" applyFill="1" applyBorder="1" applyAlignment="1" applyProtection="1">
      <alignment horizontal="center"/>
    </xf>
    <xf numFmtId="0" fontId="17" fillId="9" borderId="0" xfId="6" applyFont="1" applyFill="1" applyAlignment="1" applyProtection="1">
      <alignment horizontal="center"/>
    </xf>
    <xf numFmtId="168" fontId="17" fillId="9" borderId="0" xfId="6" applyNumberFormat="1" applyFont="1" applyFill="1" applyAlignment="1" applyProtection="1">
      <alignment horizontal="center"/>
    </xf>
    <xf numFmtId="0" fontId="25" fillId="0" borderId="0" xfId="6" applyFont="1" applyAlignment="1" applyProtection="1"/>
    <xf numFmtId="0" fontId="27" fillId="0" borderId="0" xfId="6" applyFont="1" applyAlignment="1" applyProtection="1"/>
    <xf numFmtId="0" fontId="25" fillId="0" borderId="0" xfId="6" applyFont="1" applyBorder="1" applyAlignment="1" applyProtection="1"/>
    <xf numFmtId="165" fontId="9" fillId="24" borderId="113" xfId="6" applyNumberFormat="1" applyFont="1" applyFill="1" applyBorder="1" applyAlignment="1" applyProtection="1">
      <alignment horizontal="center" vertical="center"/>
    </xf>
    <xf numFmtId="2" fontId="9" fillId="24" borderId="113" xfId="6" applyNumberFormat="1" applyFont="1" applyFill="1" applyBorder="1" applyAlignment="1" applyProtection="1">
      <alignment horizontal="center" vertical="center"/>
    </xf>
    <xf numFmtId="0" fontId="18" fillId="4" borderId="0" xfId="0" applyFont="1" applyFill="1" applyBorder="1" applyAlignment="1" applyProtection="1">
      <alignment horizontal="center"/>
    </xf>
    <xf numFmtId="0" fontId="9" fillId="5" borderId="113" xfId="0" applyFont="1" applyFill="1" applyBorder="1" applyAlignment="1" applyProtection="1">
      <alignment horizontal="left" vertical="center" indent="1"/>
      <protection locked="0"/>
    </xf>
    <xf numFmtId="9" fontId="17" fillId="9" borderId="0" xfId="6" quotePrefix="1" applyNumberFormat="1" applyFont="1" applyFill="1" applyAlignment="1" applyProtection="1">
      <alignment horizontal="center"/>
    </xf>
    <xf numFmtId="0" fontId="0" fillId="9" borderId="113" xfId="0" applyFill="1" applyBorder="1" applyAlignment="1" applyProtection="1">
      <alignment horizontal="center"/>
    </xf>
    <xf numFmtId="0" fontId="9" fillId="29" borderId="113" xfId="6" applyFont="1" applyFill="1" applyBorder="1" applyAlignment="1" applyProtection="1">
      <alignment horizontal="center"/>
      <protection locked="0"/>
    </xf>
    <xf numFmtId="0" fontId="6" fillId="0" borderId="0" xfId="0" applyFont="1" applyAlignment="1" applyProtection="1">
      <alignment horizontal="right"/>
    </xf>
    <xf numFmtId="0" fontId="6" fillId="23" borderId="113" xfId="0" applyFont="1" applyFill="1" applyBorder="1" applyAlignment="1" applyProtection="1">
      <alignment horizontal="center"/>
      <protection locked="0"/>
    </xf>
    <xf numFmtId="0" fontId="57" fillId="0" borderId="0" xfId="0" applyFont="1" applyProtection="1"/>
    <xf numFmtId="0" fontId="0" fillId="0" borderId="113" xfId="0" applyBorder="1" applyAlignment="1" applyProtection="1">
      <alignment horizontal="center"/>
    </xf>
    <xf numFmtId="0" fontId="9" fillId="0" borderId="113" xfId="6" applyFont="1" applyBorder="1" applyAlignment="1" applyProtection="1">
      <alignment horizontal="center"/>
      <protection locked="0"/>
    </xf>
    <xf numFmtId="169" fontId="9" fillId="19" borderId="113" xfId="2" applyNumberFormat="1" applyFont="1" applyFill="1" applyBorder="1" applyAlignment="1" applyProtection="1">
      <alignment horizontal="center" vertical="center"/>
    </xf>
    <xf numFmtId="0" fontId="6" fillId="9" borderId="0" xfId="0" applyFont="1" applyFill="1" applyProtection="1"/>
    <xf numFmtId="0" fontId="50" fillId="3" borderId="0" xfId="5" applyFont="1" applyFill="1" applyAlignment="1" applyProtection="1"/>
    <xf numFmtId="0" fontId="50" fillId="0" borderId="0" xfId="5" applyFont="1" applyAlignment="1" applyProtection="1"/>
    <xf numFmtId="0" fontId="50" fillId="0" borderId="0" xfId="6" applyFont="1" applyAlignment="1" applyProtection="1"/>
    <xf numFmtId="0" fontId="9" fillId="0" borderId="0" xfId="5" applyFont="1" applyAlignment="1" applyProtection="1"/>
    <xf numFmtId="0" fontId="12" fillId="0" borderId="0" xfId="6" applyFont="1" applyAlignment="1" applyProtection="1"/>
    <xf numFmtId="0" fontId="13" fillId="0" borderId="0" xfId="6" applyFont="1" applyAlignment="1" applyProtection="1"/>
    <xf numFmtId="0" fontId="13" fillId="0" borderId="0" xfId="6" applyFont="1" applyAlignment="1" applyProtection="1">
      <alignment horizontal="right"/>
    </xf>
    <xf numFmtId="0" fontId="9" fillId="0" borderId="0" xfId="6" applyFont="1" applyAlignment="1" applyProtection="1"/>
    <xf numFmtId="0" fontId="50" fillId="3" borderId="0" xfId="6" applyFont="1" applyFill="1" applyAlignment="1" applyProtection="1"/>
    <xf numFmtId="0" fontId="9" fillId="9" borderId="113" xfId="6" applyFont="1" applyFill="1" applyBorder="1" applyAlignment="1" applyProtection="1"/>
    <xf numFmtId="0" fontId="9" fillId="0" borderId="0" xfId="6" applyFont="1" applyFill="1" applyBorder="1" applyAlignment="1" applyProtection="1"/>
    <xf numFmtId="0" fontId="50" fillId="9" borderId="113" xfId="6" applyFont="1" applyFill="1" applyBorder="1" applyAlignment="1" applyProtection="1"/>
    <xf numFmtId="0" fontId="9" fillId="20" borderId="113" xfId="6" applyFont="1" applyFill="1" applyBorder="1" applyAlignment="1" applyProtection="1">
      <alignment horizontal="center"/>
    </xf>
    <xf numFmtId="0" fontId="9" fillId="0" borderId="113" xfId="6" applyFont="1" applyBorder="1" applyAlignment="1" applyProtection="1"/>
    <xf numFmtId="2" fontId="9" fillId="0" borderId="113" xfId="6" applyNumberFormat="1" applyFont="1" applyBorder="1" applyAlignment="1" applyProtection="1">
      <alignment horizontal="center"/>
    </xf>
    <xf numFmtId="169" fontId="9" fillId="20" borderId="113" xfId="2" applyNumberFormat="1" applyFont="1" applyFill="1" applyBorder="1" applyAlignment="1" applyProtection="1">
      <alignment horizontal="center"/>
    </xf>
    <xf numFmtId="0" fontId="25" fillId="0" borderId="0" xfId="5" applyFont="1" applyAlignment="1" applyProtection="1"/>
    <xf numFmtId="0" fontId="50" fillId="0" borderId="0" xfId="6" applyFont="1" applyAlignment="1" applyProtection="1">
      <alignment horizontal="left"/>
    </xf>
    <xf numFmtId="0" fontId="25" fillId="0" borderId="0" xfId="5" applyFont="1" applyAlignment="1" applyProtection="1">
      <alignment vertical="center"/>
    </xf>
    <xf numFmtId="0" fontId="9" fillId="0" borderId="0" xfId="6" applyFont="1" applyAlignment="1" applyProtection="1">
      <alignment horizontal="right"/>
    </xf>
    <xf numFmtId="0" fontId="13" fillId="0" borderId="0" xfId="5" applyFont="1" applyBorder="1" applyAlignment="1" applyProtection="1">
      <alignment horizontal="center"/>
    </xf>
    <xf numFmtId="2" fontId="9" fillId="19" borderId="113" xfId="0" applyNumberFormat="1" applyFont="1" applyFill="1" applyBorder="1" applyAlignment="1" applyProtection="1">
      <alignment vertical="center"/>
    </xf>
    <xf numFmtId="0" fontId="6" fillId="0" borderId="0" xfId="0" applyFont="1" applyAlignment="1">
      <alignment vertical="center"/>
    </xf>
    <xf numFmtId="2" fontId="54" fillId="3" borderId="113" xfId="6" applyNumberFormat="1" applyFont="1" applyFill="1" applyBorder="1" applyAlignment="1" applyProtection="1">
      <alignment horizontal="center" vertical="center" wrapText="1"/>
      <protection locked="0"/>
    </xf>
    <xf numFmtId="164" fontId="6" fillId="0" borderId="113" xfId="0" applyNumberFormat="1" applyFont="1" applyBorder="1" applyAlignment="1" applyProtection="1">
      <protection locked="0"/>
    </xf>
    <xf numFmtId="0" fontId="0" fillId="0" borderId="0" xfId="0" applyAlignment="1">
      <alignment vertical="center"/>
    </xf>
    <xf numFmtId="0" fontId="72" fillId="0" borderId="0" xfId="0" applyFont="1" applyAlignment="1">
      <alignment vertical="center"/>
    </xf>
    <xf numFmtId="0" fontId="18" fillId="5" borderId="0" xfId="0" applyFont="1" applyFill="1" applyBorder="1" applyAlignment="1" applyProtection="1">
      <protection locked="0"/>
    </xf>
    <xf numFmtId="0" fontId="25" fillId="0" borderId="0" xfId="7" applyFont="1" applyBorder="1" applyAlignment="1" applyProtection="1">
      <alignment horizontal="right" vertical="center"/>
    </xf>
    <xf numFmtId="0" fontId="9" fillId="20" borderId="0" xfId="7" applyFont="1" applyFill="1" applyBorder="1" applyAlignment="1" applyProtection="1">
      <alignment horizontal="center"/>
    </xf>
    <xf numFmtId="0" fontId="6" fillId="0" borderId="0" xfId="0" applyFont="1" applyAlignment="1">
      <alignment vertical="center" wrapText="1"/>
    </xf>
    <xf numFmtId="0" fontId="25" fillId="0" borderId="0" xfId="5" applyFont="1" applyAlignment="1" applyProtection="1">
      <alignment horizontal="left"/>
    </xf>
    <xf numFmtId="0" fontId="74" fillId="0" borderId="0" xfId="0" applyFont="1" applyProtection="1"/>
    <xf numFmtId="0" fontId="0" fillId="0" borderId="0" xfId="0" applyAlignment="1">
      <alignment wrapText="1"/>
    </xf>
    <xf numFmtId="0" fontId="9" fillId="0" borderId="0" xfId="6" applyFont="1" applyFill="1" applyBorder="1" applyAlignment="1" applyProtection="1">
      <alignment horizontal="center"/>
    </xf>
    <xf numFmtId="0" fontId="9" fillId="9" borderId="177" xfId="6" applyFont="1" applyFill="1" applyBorder="1" applyAlignment="1" applyProtection="1"/>
    <xf numFmtId="174" fontId="0" fillId="9" borderId="113" xfId="0" applyNumberFormat="1" applyFill="1" applyBorder="1" applyAlignment="1" applyProtection="1">
      <alignment horizontal="center"/>
    </xf>
    <xf numFmtId="0" fontId="8" fillId="4" borderId="0" xfId="0" applyFont="1" applyFill="1" applyBorder="1" applyAlignment="1" applyProtection="1"/>
    <xf numFmtId="165" fontId="9" fillId="19" borderId="113" xfId="0" applyNumberFormat="1" applyFont="1" applyFill="1" applyBorder="1" applyAlignment="1" applyProtection="1">
      <alignment horizontal="center"/>
    </xf>
    <xf numFmtId="171" fontId="0" fillId="9" borderId="237" xfId="0" applyNumberFormat="1" applyFill="1" applyBorder="1" applyAlignment="1" applyProtection="1">
      <alignment horizontal="center"/>
    </xf>
    <xf numFmtId="164" fontId="0" fillId="37" borderId="113" xfId="1" applyFont="1" applyFill="1" applyBorder="1" applyAlignment="1" applyProtection="1">
      <alignment horizontal="center"/>
    </xf>
    <xf numFmtId="164" fontId="0" fillId="37" borderId="237" xfId="1" applyFont="1" applyFill="1" applyBorder="1" applyAlignment="1" applyProtection="1">
      <alignment horizontal="center"/>
    </xf>
    <xf numFmtId="164" fontId="0" fillId="37" borderId="113" xfId="1" quotePrefix="1" applyFont="1" applyFill="1" applyBorder="1" applyAlignment="1" applyProtection="1">
      <alignment horizontal="center"/>
    </xf>
    <xf numFmtId="171" fontId="0" fillId="37" borderId="113" xfId="0" applyNumberFormat="1" applyFill="1" applyBorder="1" applyAlignment="1" applyProtection="1">
      <alignment horizontal="center"/>
    </xf>
    <xf numFmtId="0" fontId="43" fillId="3" borderId="177" xfId="0" applyFont="1" applyFill="1" applyBorder="1" applyAlignment="1" applyProtection="1">
      <alignment horizontal="left" vertical="center"/>
    </xf>
    <xf numFmtId="0" fontId="88" fillId="0" borderId="0" xfId="0" applyFont="1" applyFill="1" applyProtection="1"/>
    <xf numFmtId="0" fontId="74" fillId="9" borderId="0" xfId="0" applyFont="1" applyFill="1" applyProtection="1"/>
    <xf numFmtId="0" fontId="9" fillId="19" borderId="237" xfId="0" applyFont="1" applyFill="1" applyBorder="1" applyAlignment="1" applyProtection="1">
      <alignment horizontal="center" vertical="center"/>
    </xf>
    <xf numFmtId="0" fontId="0" fillId="0" borderId="0" xfId="0" applyFont="1"/>
    <xf numFmtId="0" fontId="4" fillId="0" borderId="0" xfId="0" applyFont="1" applyProtection="1"/>
    <xf numFmtId="17" fontId="0" fillId="0" borderId="0" xfId="0" applyNumberFormat="1"/>
    <xf numFmtId="0" fontId="90" fillId="5" borderId="0" xfId="0" applyFont="1" applyFill="1" applyBorder="1" applyProtection="1"/>
    <xf numFmtId="0" fontId="25" fillId="5" borderId="0" xfId="0" applyFont="1" applyFill="1" applyBorder="1" applyAlignment="1" applyProtection="1">
      <alignment horizontal="left"/>
    </xf>
    <xf numFmtId="0" fontId="15" fillId="5" borderId="0" xfId="0" applyFont="1" applyFill="1" applyBorder="1" applyAlignment="1" applyProtection="1">
      <alignment horizontal="left"/>
    </xf>
    <xf numFmtId="0" fontId="9" fillId="16" borderId="113" xfId="0" applyFont="1" applyFill="1" applyBorder="1" applyAlignment="1" applyProtection="1">
      <alignment horizontal="center"/>
    </xf>
    <xf numFmtId="0" fontId="9" fillId="16" borderId="22" xfId="0" applyFont="1" applyFill="1" applyBorder="1" applyAlignment="1" applyProtection="1">
      <alignment horizontal="center"/>
    </xf>
    <xf numFmtId="0" fontId="9" fillId="5" borderId="75" xfId="0" applyFont="1" applyFill="1" applyBorder="1" applyAlignment="1" applyProtection="1">
      <alignment horizontal="center" vertical="center"/>
      <protection locked="0"/>
    </xf>
    <xf numFmtId="0" fontId="6" fillId="2" borderId="227" xfId="0" applyFont="1" applyFill="1" applyBorder="1" applyAlignment="1" applyProtection="1">
      <alignment horizontal="center" vertical="center"/>
    </xf>
    <xf numFmtId="0" fontId="6" fillId="2" borderId="226" xfId="0" applyFont="1" applyFill="1" applyBorder="1" applyAlignment="1" applyProtection="1">
      <alignment horizontal="center" vertical="center"/>
    </xf>
    <xf numFmtId="0" fontId="6" fillId="0" borderId="227" xfId="0" applyFont="1" applyBorder="1" applyAlignment="1" applyProtection="1">
      <alignment horizontal="center" vertical="center"/>
      <protection locked="0"/>
    </xf>
    <xf numFmtId="0" fontId="6" fillId="0" borderId="226" xfId="0" applyFont="1" applyBorder="1" applyAlignment="1" applyProtection="1">
      <alignment horizontal="center" vertical="center"/>
      <protection locked="0"/>
    </xf>
    <xf numFmtId="0" fontId="6" fillId="2" borderId="44" xfId="0" applyFont="1" applyFill="1" applyBorder="1" applyAlignment="1" applyProtection="1">
      <alignment horizontal="center" vertical="center"/>
    </xf>
    <xf numFmtId="1" fontId="6" fillId="20" borderId="22" xfId="0" applyNumberFormat="1" applyFont="1" applyFill="1" applyBorder="1" applyAlignment="1" applyProtection="1">
      <alignment horizontal="center" vertical="center"/>
    </xf>
    <xf numFmtId="0" fontId="9" fillId="16" borderId="73" xfId="0" applyFont="1" applyFill="1" applyBorder="1" applyAlignment="1" applyProtection="1">
      <alignment horizontal="center"/>
    </xf>
    <xf numFmtId="171" fontId="0" fillId="37" borderId="238" xfId="0" applyNumberFormat="1" applyFill="1" applyBorder="1" applyAlignment="1" applyProtection="1">
      <alignment horizontal="center" vertical="center"/>
    </xf>
    <xf numFmtId="171" fontId="0" fillId="37" borderId="236" xfId="0" applyNumberFormat="1" applyFill="1" applyBorder="1" applyAlignment="1" applyProtection="1">
      <alignment horizontal="center" vertical="center"/>
    </xf>
    <xf numFmtId="0" fontId="9" fillId="7" borderId="220" xfId="0" applyFont="1" applyFill="1" applyBorder="1" applyAlignment="1" applyProtection="1">
      <alignment horizontal="center"/>
    </xf>
    <xf numFmtId="0" fontId="0" fillId="2" borderId="113" xfId="0" applyFill="1" applyBorder="1" applyAlignment="1" applyProtection="1">
      <alignment horizontal="center"/>
    </xf>
    <xf numFmtId="0" fontId="9" fillId="16" borderId="113" xfId="0" applyFont="1" applyFill="1" applyBorder="1" applyAlignment="1" applyProtection="1">
      <alignment horizontal="center" vertical="center"/>
    </xf>
    <xf numFmtId="0" fontId="9" fillId="16" borderId="22" xfId="0" applyFont="1" applyFill="1" applyBorder="1" applyAlignment="1" applyProtection="1">
      <alignment horizontal="center" vertical="center"/>
    </xf>
    <xf numFmtId="0" fontId="6" fillId="0" borderId="164" xfId="0" applyFont="1" applyBorder="1" applyAlignment="1" applyProtection="1">
      <alignment horizontal="left"/>
    </xf>
    <xf numFmtId="0" fontId="18" fillId="5" borderId="0" xfId="3" applyFont="1" applyFill="1" applyBorder="1" applyAlignment="1" applyProtection="1">
      <alignment horizontal="left"/>
      <protection locked="0"/>
    </xf>
    <xf numFmtId="0" fontId="2" fillId="12" borderId="120" xfId="0" applyFont="1" applyFill="1" applyBorder="1" applyAlignment="1" applyProtection="1">
      <alignment horizontal="center" vertical="center" wrapText="1"/>
    </xf>
    <xf numFmtId="0" fontId="6" fillId="0" borderId="113" xfId="0" applyFont="1" applyBorder="1" applyAlignment="1" applyProtection="1">
      <alignment horizontal="center"/>
      <protection locked="0"/>
    </xf>
    <xf numFmtId="0" fontId="9" fillId="2" borderId="113" xfId="6" applyFont="1" applyFill="1" applyBorder="1" applyAlignment="1" applyProtection="1">
      <alignment horizontal="center"/>
    </xf>
    <xf numFmtId="0" fontId="9" fillId="2" borderId="113" xfId="6" applyFont="1" applyFill="1" applyBorder="1" applyAlignment="1" applyProtection="1">
      <alignment horizontal="center" vertical="center"/>
    </xf>
    <xf numFmtId="0" fontId="9" fillId="2" borderId="113" xfId="7" applyFont="1" applyFill="1" applyBorder="1" applyAlignment="1" applyProtection="1">
      <alignment horizontal="center" vertical="center"/>
    </xf>
    <xf numFmtId="0" fontId="9" fillId="2" borderId="113" xfId="7" applyFont="1" applyFill="1" applyBorder="1" applyAlignment="1" applyProtection="1">
      <alignment horizontal="center"/>
    </xf>
    <xf numFmtId="0" fontId="9" fillId="0" borderId="113" xfId="6" applyFont="1" applyBorder="1" applyAlignment="1" applyProtection="1">
      <alignment horizontal="center" vertical="center" wrapText="1"/>
    </xf>
    <xf numFmtId="0" fontId="18" fillId="5" borderId="0" xfId="0" applyFont="1" applyFill="1" applyBorder="1" applyAlignment="1" applyProtection="1">
      <alignment horizontal="left"/>
      <protection locked="0"/>
    </xf>
    <xf numFmtId="0" fontId="18" fillId="5" borderId="0" xfId="0" applyFont="1" applyFill="1" applyBorder="1" applyAlignment="1" applyProtection="1">
      <alignment horizontal="center"/>
    </xf>
    <xf numFmtId="14" fontId="6" fillId="20" borderId="113" xfId="0" applyNumberFormat="1" applyFont="1" applyFill="1" applyBorder="1" applyAlignment="1" applyProtection="1">
      <alignment horizontal="center" vertical="center"/>
    </xf>
    <xf numFmtId="0" fontId="5" fillId="0" borderId="231" xfId="0" applyFont="1" applyBorder="1" applyProtection="1"/>
    <xf numFmtId="0" fontId="6" fillId="0" borderId="218" xfId="0" applyFont="1" applyBorder="1" applyProtection="1"/>
    <xf numFmtId="0" fontId="5" fillId="0" borderId="218" xfId="0" applyFont="1" applyBorder="1" applyProtection="1"/>
    <xf numFmtId="0" fontId="6" fillId="0" borderId="225" xfId="0" applyFont="1" applyBorder="1" applyAlignment="1" applyProtection="1">
      <alignment horizontal="right"/>
    </xf>
    <xf numFmtId="0" fontId="5" fillId="0" borderId="233" xfId="0" applyFont="1" applyBorder="1" applyProtection="1"/>
    <xf numFmtId="0" fontId="6" fillId="0" borderId="234" xfId="0" applyFont="1" applyBorder="1" applyAlignment="1" applyProtection="1">
      <alignment horizontal="left"/>
    </xf>
    <xf numFmtId="0" fontId="6" fillId="0" borderId="234" xfId="0" applyFont="1" applyBorder="1" applyProtection="1"/>
    <xf numFmtId="0" fontId="5" fillId="0" borderId="234" xfId="0" applyFont="1" applyBorder="1" applyProtection="1"/>
    <xf numFmtId="0" fontId="6" fillId="0" borderId="235" xfId="0" applyFont="1" applyBorder="1" applyAlignment="1" applyProtection="1">
      <alignment horizontal="right"/>
    </xf>
    <xf numFmtId="0" fontId="5" fillId="0" borderId="0" xfId="0" applyFont="1" applyProtection="1"/>
    <xf numFmtId="0" fontId="16" fillId="2" borderId="113" xfId="0" applyFont="1" applyFill="1" applyBorder="1" applyAlignment="1" applyProtection="1">
      <alignment horizontal="center" vertical="center"/>
    </xf>
    <xf numFmtId="0" fontId="6" fillId="2" borderId="227" xfId="0" applyFont="1" applyFill="1" applyBorder="1" applyAlignment="1" applyProtection="1">
      <alignment horizontal="center" vertical="center" wrapText="1"/>
    </xf>
    <xf numFmtId="0" fontId="13" fillId="16" borderId="230" xfId="0" applyFont="1" applyFill="1" applyBorder="1" applyAlignment="1" applyProtection="1">
      <alignment horizontal="center" vertical="center"/>
    </xf>
    <xf numFmtId="0" fontId="6" fillId="0" borderId="227" xfId="0" applyFont="1" applyBorder="1" applyAlignment="1" applyProtection="1">
      <alignment horizontal="center" vertical="center"/>
    </xf>
    <xf numFmtId="0" fontId="13" fillId="16" borderId="177" xfId="0" applyFont="1" applyFill="1" applyBorder="1" applyAlignment="1" applyProtection="1">
      <alignment horizontal="center" vertical="center"/>
    </xf>
    <xf numFmtId="0" fontId="16" fillId="2" borderId="113" xfId="0" applyFont="1" applyFill="1" applyBorder="1" applyAlignment="1" applyProtection="1">
      <alignment horizontal="center" vertical="center" wrapText="1"/>
    </xf>
    <xf numFmtId="0" fontId="16" fillId="2" borderId="227" xfId="0" applyFont="1" applyFill="1" applyBorder="1" applyAlignment="1" applyProtection="1">
      <alignment horizontal="center" vertical="center" wrapText="1"/>
    </xf>
    <xf numFmtId="0" fontId="6" fillId="2" borderId="230" xfId="0" applyFont="1" applyFill="1" applyBorder="1" applyAlignment="1" applyProtection="1">
      <alignment horizontal="center" vertical="center"/>
    </xf>
    <xf numFmtId="0" fontId="6" fillId="2" borderId="232" xfId="0" applyFont="1" applyFill="1" applyBorder="1" applyProtection="1"/>
    <xf numFmtId="0" fontId="16" fillId="2" borderId="230" xfId="0" applyFont="1" applyFill="1" applyBorder="1" applyAlignment="1" applyProtection="1">
      <alignment horizontal="right"/>
    </xf>
    <xf numFmtId="0" fontId="6" fillId="2" borderId="177" xfId="0" applyFont="1" applyFill="1" applyBorder="1" applyAlignment="1" applyProtection="1">
      <alignment horizontal="center" vertical="center"/>
    </xf>
    <xf numFmtId="0" fontId="6" fillId="2" borderId="177" xfId="0" applyFont="1" applyFill="1" applyBorder="1" applyAlignment="1" applyProtection="1">
      <alignment horizontal="right" vertical="center"/>
    </xf>
    <xf numFmtId="0" fontId="6" fillId="0" borderId="226" xfId="0" applyFont="1" applyBorder="1" applyAlignment="1" applyProtection="1">
      <alignment horizontal="center" vertical="center"/>
    </xf>
    <xf numFmtId="165" fontId="6" fillId="20" borderId="113" xfId="0" applyNumberFormat="1" applyFont="1" applyFill="1" applyBorder="1" applyAlignment="1" applyProtection="1">
      <alignment horizontal="center" vertical="center"/>
    </xf>
    <xf numFmtId="1" fontId="6" fillId="20" borderId="113" xfId="0" applyNumberFormat="1" applyFont="1" applyFill="1" applyBorder="1" applyAlignment="1" applyProtection="1">
      <alignment horizontal="center" vertical="center"/>
    </xf>
    <xf numFmtId="167" fontId="6" fillId="20" borderId="113" xfId="0" applyNumberFormat="1" applyFont="1" applyFill="1" applyBorder="1" applyAlignment="1" applyProtection="1">
      <alignment horizontal="center" vertical="center"/>
    </xf>
    <xf numFmtId="2" fontId="0" fillId="20" borderId="113" xfId="0" applyNumberFormat="1" applyFill="1" applyBorder="1" applyAlignment="1" applyProtection="1">
      <alignment horizontal="center"/>
    </xf>
    <xf numFmtId="0" fontId="6" fillId="20" borderId="226" xfId="0" applyFont="1" applyFill="1" applyBorder="1" applyAlignment="1" applyProtection="1">
      <alignment horizontal="center" vertical="center"/>
    </xf>
    <xf numFmtId="0" fontId="6" fillId="2" borderId="232" xfId="0" applyFont="1" applyFill="1" applyBorder="1" applyAlignment="1" applyProtection="1">
      <alignment horizontal="right"/>
    </xf>
    <xf numFmtId="0" fontId="6" fillId="2" borderId="218" xfId="0" applyFont="1" applyFill="1" applyBorder="1" applyProtection="1"/>
    <xf numFmtId="0" fontId="6" fillId="2" borderId="233" xfId="0" applyFont="1" applyFill="1" applyBorder="1" applyProtection="1"/>
    <xf numFmtId="0" fontId="6" fillId="2" borderId="234" xfId="0" applyFont="1" applyFill="1" applyBorder="1" applyProtection="1"/>
    <xf numFmtId="0" fontId="6" fillId="20" borderId="113" xfId="0" applyFont="1" applyFill="1" applyBorder="1" applyAlignment="1" applyProtection="1">
      <alignment horizontal="center" vertical="center"/>
    </xf>
    <xf numFmtId="0" fontId="22" fillId="4" borderId="0" xfId="0" applyFont="1" applyFill="1" applyAlignment="1" applyProtection="1">
      <alignment horizontal="center"/>
    </xf>
    <xf numFmtId="0" fontId="6" fillId="3" borderId="0" xfId="0" applyFont="1" applyFill="1" applyProtection="1"/>
    <xf numFmtId="14" fontId="6" fillId="3" borderId="113" xfId="0" applyNumberFormat="1" applyFont="1" applyFill="1" applyBorder="1" applyAlignment="1" applyProtection="1">
      <alignment horizontal="center" vertical="center"/>
    </xf>
    <xf numFmtId="168" fontId="6" fillId="0" borderId="0" xfId="0" applyNumberFormat="1" applyFont="1" applyAlignment="1" applyProtection="1">
      <alignment horizontal="center" vertical="center"/>
    </xf>
    <xf numFmtId="0" fontId="6" fillId="2" borderId="230" xfId="0" applyFont="1" applyFill="1" applyBorder="1" applyAlignment="1" applyProtection="1">
      <alignment horizontal="right"/>
    </xf>
    <xf numFmtId="0" fontId="0" fillId="2" borderId="231" xfId="0" applyFill="1" applyBorder="1" applyProtection="1"/>
    <xf numFmtId="165" fontId="6" fillId="20" borderId="113" xfId="0" applyNumberFormat="1" applyFont="1" applyFill="1" applyBorder="1" applyAlignment="1" applyProtection="1">
      <alignment horizontal="center"/>
    </xf>
    <xf numFmtId="0" fontId="0" fillId="2" borderId="0" xfId="0" applyFill="1" applyProtection="1"/>
    <xf numFmtId="0" fontId="0" fillId="2" borderId="234" xfId="0" applyFill="1" applyBorder="1" applyProtection="1"/>
    <xf numFmtId="0" fontId="0" fillId="2" borderId="235" xfId="0" applyFill="1" applyBorder="1" applyProtection="1"/>
    <xf numFmtId="1" fontId="32" fillId="0" borderId="0" xfId="0" applyNumberFormat="1" applyFont="1" applyAlignment="1" applyProtection="1">
      <alignment horizontal="center"/>
    </xf>
    <xf numFmtId="1" fontId="32" fillId="0" borderId="0" xfId="0" applyNumberFormat="1" applyFont="1" applyAlignment="1" applyProtection="1">
      <alignment horizontal="center" vertical="center"/>
    </xf>
    <xf numFmtId="0" fontId="32" fillId="0" borderId="0" xfId="0" applyFont="1" applyAlignment="1" applyProtection="1">
      <alignment horizontal="center"/>
    </xf>
    <xf numFmtId="0" fontId="22" fillId="25" borderId="0" xfId="0" applyFont="1" applyFill="1" applyAlignment="1" applyProtection="1">
      <alignment horizontal="center"/>
    </xf>
    <xf numFmtId="0" fontId="91" fillId="0" borderId="0" xfId="0" applyFont="1" applyProtection="1"/>
    <xf numFmtId="0" fontId="91" fillId="3" borderId="0" xfId="0" applyFont="1" applyFill="1" applyProtection="1"/>
    <xf numFmtId="165" fontId="9" fillId="16" borderId="209" xfId="0" applyNumberFormat="1" applyFont="1" applyFill="1" applyBorder="1" applyAlignment="1" applyProtection="1">
      <alignment horizontal="center"/>
    </xf>
    <xf numFmtId="0" fontId="9" fillId="39" borderId="75" xfId="0" applyFont="1" applyFill="1" applyBorder="1" applyAlignment="1" applyProtection="1">
      <alignment horizontal="center" vertical="center"/>
    </xf>
    <xf numFmtId="0" fontId="9" fillId="16" borderId="173" xfId="0" applyFont="1" applyFill="1" applyBorder="1" applyAlignment="1" applyProtection="1">
      <alignment horizontal="center" vertical="center"/>
    </xf>
    <xf numFmtId="0" fontId="9" fillId="7" borderId="205" xfId="0" applyFont="1" applyFill="1" applyBorder="1" applyAlignment="1" applyProtection="1">
      <alignment horizontal="center"/>
    </xf>
    <xf numFmtId="0" fontId="9" fillId="39" borderId="227" xfId="0" applyFont="1" applyFill="1" applyBorder="1" applyAlignment="1" applyProtection="1">
      <alignment horizontal="center" vertical="center"/>
    </xf>
    <xf numFmtId="0" fontId="6" fillId="0" borderId="22" xfId="0" applyFont="1" applyBorder="1" applyAlignment="1" applyProtection="1">
      <alignment horizontal="center"/>
    </xf>
    <xf numFmtId="0" fontId="0" fillId="2" borderId="217" xfId="0" applyFill="1" applyBorder="1" applyAlignment="1" applyProtection="1">
      <alignment horizontal="center"/>
    </xf>
    <xf numFmtId="0" fontId="6" fillId="0" borderId="0" xfId="0" applyFont="1" applyProtection="1">
      <protection locked="0"/>
    </xf>
    <xf numFmtId="0" fontId="6" fillId="4" borderId="113" xfId="0" applyFont="1" applyFill="1" applyBorder="1" applyAlignment="1" applyProtection="1">
      <alignment horizontal="center"/>
      <protection locked="0"/>
    </xf>
    <xf numFmtId="0" fontId="6" fillId="4" borderId="177" xfId="0" applyFont="1" applyFill="1" applyBorder="1" applyAlignment="1" applyProtection="1">
      <alignment horizontal="center"/>
      <protection locked="0"/>
    </xf>
    <xf numFmtId="0" fontId="6" fillId="13" borderId="113" xfId="0" applyFont="1" applyFill="1" applyBorder="1" applyAlignment="1" applyProtection="1">
      <alignment horizontal="center"/>
      <protection locked="0"/>
    </xf>
    <xf numFmtId="0" fontId="13" fillId="0" borderId="0" xfId="5" applyFont="1" applyAlignment="1" applyProtection="1">
      <alignment horizontal="right"/>
    </xf>
    <xf numFmtId="0" fontId="9" fillId="31" borderId="113" xfId="6" applyFont="1" applyFill="1" applyBorder="1" applyAlignment="1" applyProtection="1">
      <alignment horizontal="center"/>
    </xf>
    <xf numFmtId="0" fontId="9" fillId="0" borderId="211" xfId="6" applyFont="1" applyBorder="1" applyAlignment="1" applyProtection="1">
      <protection locked="0"/>
    </xf>
    <xf numFmtId="0" fontId="9" fillId="0" borderId="208" xfId="6" applyFont="1" applyBorder="1" applyAlignment="1" applyProtection="1">
      <protection locked="0"/>
    </xf>
    <xf numFmtId="169" fontId="34" fillId="0" borderId="113" xfId="0" applyNumberFormat="1" applyFont="1" applyBorder="1" applyAlignment="1" applyProtection="1">
      <alignment horizontal="left"/>
    </xf>
    <xf numFmtId="169" fontId="0" fillId="0" borderId="0" xfId="2" applyNumberFormat="1" applyFont="1" applyProtection="1"/>
    <xf numFmtId="0" fontId="9" fillId="0" borderId="113" xfId="6" applyFont="1" applyBorder="1" applyAlignment="1" applyProtection="1">
      <alignment horizontal="center" vertical="center"/>
      <protection locked="0"/>
    </xf>
    <xf numFmtId="0" fontId="9" fillId="39" borderId="22" xfId="0" applyFont="1" applyFill="1" applyBorder="1" applyAlignment="1" applyProtection="1">
      <alignment horizontal="center" vertical="center"/>
      <protection locked="0"/>
    </xf>
    <xf numFmtId="49" fontId="6" fillId="0" borderId="234" xfId="0" applyNumberFormat="1" applyFont="1" applyBorder="1" applyAlignment="1" applyProtection="1">
      <alignment horizontal="left"/>
    </xf>
    <xf numFmtId="0" fontId="9" fillId="16" borderId="113" xfId="0" applyFont="1" applyFill="1" applyBorder="1" applyAlignment="1" applyProtection="1">
      <alignment horizontal="center"/>
    </xf>
    <xf numFmtId="0" fontId="9" fillId="2" borderId="113" xfId="6" applyFont="1" applyFill="1" applyBorder="1" applyAlignment="1" applyProtection="1">
      <alignment horizontal="center"/>
    </xf>
    <xf numFmtId="0" fontId="6" fillId="0" borderId="113" xfId="0" applyFont="1" applyBorder="1" applyAlignment="1" applyProtection="1">
      <alignment horizontal="center"/>
      <protection locked="0"/>
    </xf>
    <xf numFmtId="0" fontId="9" fillId="16" borderId="22" xfId="0" applyFont="1" applyFill="1" applyBorder="1" applyAlignment="1" applyProtection="1">
      <alignment horizontal="center"/>
    </xf>
    <xf numFmtId="0" fontId="9" fillId="16" borderId="60" xfId="3" applyFont="1" applyFill="1" applyBorder="1" applyAlignment="1" applyProtection="1">
      <alignment horizontal="center" vertical="center"/>
    </xf>
    <xf numFmtId="0" fontId="9" fillId="16" borderId="59" xfId="3" applyFont="1" applyFill="1" applyBorder="1" applyAlignment="1" applyProtection="1">
      <alignment horizontal="center" vertical="center"/>
    </xf>
    <xf numFmtId="0" fontId="9" fillId="16" borderId="102" xfId="3" applyFont="1" applyFill="1" applyBorder="1" applyAlignment="1" applyProtection="1">
      <alignment horizontal="center" vertical="center"/>
    </xf>
    <xf numFmtId="0" fontId="9" fillId="21" borderId="164" xfId="4" applyFont="1" applyFill="1" applyBorder="1" applyAlignment="1" applyProtection="1">
      <alignment horizontal="center"/>
      <protection locked="0"/>
    </xf>
    <xf numFmtId="0" fontId="9" fillId="5" borderId="164" xfId="4" applyFont="1" applyFill="1" applyBorder="1" applyAlignment="1" applyProtection="1">
      <alignment horizontal="center"/>
      <protection locked="0"/>
    </xf>
    <xf numFmtId="0" fontId="0" fillId="9" borderId="22" xfId="0" applyFill="1" applyBorder="1" applyAlignment="1" applyProtection="1">
      <alignment horizontal="center" vertical="center"/>
    </xf>
    <xf numFmtId="0" fontId="0" fillId="9" borderId="22" xfId="0" applyFill="1" applyBorder="1" applyProtection="1"/>
    <xf numFmtId="0" fontId="0" fillId="0" borderId="231" xfId="0" applyBorder="1" applyAlignment="1">
      <alignment horizontal="left" vertical="top" wrapText="1"/>
    </xf>
    <xf numFmtId="0" fontId="0" fillId="0" borderId="173" xfId="0" applyBorder="1" applyAlignment="1">
      <alignment horizontal="left" vertical="top" wrapText="1"/>
    </xf>
    <xf numFmtId="0" fontId="0" fillId="0" borderId="233" xfId="0" applyBorder="1" applyAlignment="1">
      <alignment horizontal="left" vertical="top" wrapText="1"/>
    </xf>
    <xf numFmtId="0" fontId="9" fillId="0" borderId="0" xfId="0" applyFont="1" applyBorder="1" applyAlignment="1" applyProtection="1">
      <alignment horizontal="left" vertical="center" wrapText="1"/>
    </xf>
    <xf numFmtId="0" fontId="6" fillId="13" borderId="0" xfId="0" applyFont="1" applyFill="1" applyBorder="1" applyAlignment="1" applyProtection="1">
      <alignment horizontal="center"/>
      <protection locked="0"/>
    </xf>
    <xf numFmtId="0" fontId="0" fillId="0" borderId="0" xfId="0" applyAlignment="1" applyProtection="1">
      <alignment horizontal="right"/>
    </xf>
    <xf numFmtId="0" fontId="9" fillId="0" borderId="0" xfId="0" applyFont="1" applyBorder="1" applyAlignment="1" applyProtection="1">
      <alignment horizontal="right" vertical="center" wrapText="1"/>
    </xf>
    <xf numFmtId="0" fontId="6" fillId="13" borderId="0" xfId="0" applyFont="1" applyFill="1" applyBorder="1" applyAlignment="1" applyProtection="1">
      <alignment horizontal="center"/>
    </xf>
    <xf numFmtId="0" fontId="6" fillId="16" borderId="113" xfId="0" applyFont="1" applyFill="1" applyBorder="1" applyAlignment="1" applyProtection="1">
      <alignment horizontal="center"/>
    </xf>
    <xf numFmtId="0" fontId="9" fillId="0" borderId="113" xfId="0" applyFont="1" applyBorder="1" applyAlignment="1" applyProtection="1">
      <alignment horizontal="left" vertical="center" wrapText="1"/>
      <protection locked="0"/>
    </xf>
    <xf numFmtId="0" fontId="0" fillId="0" borderId="113" xfId="0" applyBorder="1" applyAlignment="1" applyProtection="1">
      <alignment horizontal="center"/>
    </xf>
    <xf numFmtId="0" fontId="9" fillId="2" borderId="113" xfId="6" applyFont="1" applyFill="1" applyBorder="1" applyAlignment="1" applyProtection="1">
      <alignment horizontal="center" vertical="center"/>
    </xf>
    <xf numFmtId="0" fontId="9" fillId="0" borderId="113" xfId="6" applyFont="1" applyBorder="1" applyAlignment="1" applyProtection="1">
      <alignment horizontal="center" vertical="center" wrapText="1"/>
    </xf>
    <xf numFmtId="0" fontId="9" fillId="2" borderId="113" xfId="7" applyFont="1" applyFill="1" applyBorder="1" applyAlignment="1" applyProtection="1">
      <alignment horizontal="center" vertical="center"/>
    </xf>
    <xf numFmtId="0" fontId="9" fillId="2" borderId="113" xfId="7" applyFont="1" applyFill="1" applyBorder="1" applyAlignment="1" applyProtection="1">
      <alignment horizontal="center"/>
    </xf>
    <xf numFmtId="0" fontId="18" fillId="5" borderId="0" xfId="0" applyFont="1" applyFill="1" applyBorder="1" applyAlignment="1" applyProtection="1">
      <alignment horizontal="center"/>
    </xf>
    <xf numFmtId="0" fontId="6" fillId="33" borderId="0" xfId="0" applyFont="1" applyFill="1" applyAlignment="1">
      <alignment vertical="center"/>
    </xf>
    <xf numFmtId="0" fontId="6" fillId="37" borderId="0" xfId="0" applyFont="1" applyFill="1" applyAlignment="1">
      <alignment vertical="center" wrapText="1"/>
    </xf>
    <xf numFmtId="0" fontId="6" fillId="40" borderId="0" xfId="0" applyFont="1" applyFill="1" applyAlignment="1">
      <alignment vertical="center" wrapText="1"/>
    </xf>
    <xf numFmtId="0" fontId="92" fillId="3" borderId="0" xfId="0" applyFont="1" applyFill="1" applyAlignment="1">
      <alignment vertical="center" wrapText="1"/>
    </xf>
    <xf numFmtId="165" fontId="9" fillId="19" borderId="113" xfId="3" applyNumberFormat="1" applyFont="1" applyFill="1" applyBorder="1" applyAlignment="1" applyProtection="1">
      <alignment horizontal="center" vertical="center"/>
    </xf>
    <xf numFmtId="0" fontId="9" fillId="41" borderId="113" xfId="3" applyFont="1" applyFill="1" applyBorder="1" applyAlignment="1" applyProtection="1">
      <alignment horizontal="center"/>
    </xf>
    <xf numFmtId="0" fontId="9" fillId="7" borderId="113" xfId="3" applyFont="1" applyFill="1" applyBorder="1" applyAlignment="1" applyProtection="1">
      <alignment horizontal="center"/>
    </xf>
    <xf numFmtId="0" fontId="9" fillId="19" borderId="159" xfId="3" applyFont="1" applyFill="1" applyBorder="1" applyAlignment="1" applyProtection="1">
      <alignment horizontal="center"/>
    </xf>
    <xf numFmtId="0" fontId="9" fillId="5" borderId="15" xfId="3" applyFont="1" applyFill="1" applyBorder="1" applyAlignment="1" applyProtection="1">
      <alignment horizontal="center" vertical="center"/>
      <protection locked="0"/>
    </xf>
    <xf numFmtId="0" fontId="9" fillId="5" borderId="50" xfId="3" applyFont="1" applyFill="1" applyBorder="1" applyAlignment="1" applyProtection="1">
      <alignment horizontal="center" vertical="center"/>
      <protection locked="0"/>
    </xf>
    <xf numFmtId="164" fontId="0" fillId="3" borderId="0" xfId="0" applyNumberFormat="1" applyFill="1" applyProtection="1"/>
    <xf numFmtId="0" fontId="0" fillId="9" borderId="0" xfId="0" applyFill="1" applyAlignment="1" applyProtection="1">
      <alignment horizontal="center" wrapText="1"/>
    </xf>
    <xf numFmtId="0" fontId="9" fillId="5" borderId="234" xfId="0" applyFont="1" applyFill="1" applyBorder="1" applyAlignment="1" applyProtection="1">
      <alignment horizontal="left"/>
      <protection locked="0"/>
    </xf>
    <xf numFmtId="0" fontId="0" fillId="2" borderId="113" xfId="0" applyFont="1" applyFill="1" applyBorder="1" applyAlignment="1" applyProtection="1">
      <alignment horizontal="right"/>
    </xf>
    <xf numFmtId="2" fontId="9" fillId="19" borderId="113" xfId="2" applyNumberFormat="1" applyFont="1" applyFill="1" applyBorder="1" applyAlignment="1" applyProtection="1">
      <alignment horizontal="center" vertical="center"/>
    </xf>
    <xf numFmtId="0" fontId="25" fillId="5" borderId="0" xfId="0" applyFont="1" applyFill="1" applyBorder="1" applyAlignment="1" applyProtection="1">
      <alignment horizontal="left"/>
    </xf>
    <xf numFmtId="0" fontId="25" fillId="5" borderId="0" xfId="0" applyFont="1" applyFill="1" applyBorder="1" applyAlignment="1" applyProtection="1">
      <alignment horizontal="right"/>
    </xf>
    <xf numFmtId="0" fontId="13" fillId="4" borderId="0" xfId="3" applyFont="1" applyFill="1" applyAlignment="1">
      <alignment horizontal="center"/>
    </xf>
    <xf numFmtId="0" fontId="77" fillId="5" borderId="0" xfId="3" applyFont="1" applyFill="1"/>
    <xf numFmtId="0" fontId="17" fillId="5" borderId="0" xfId="3" applyFill="1"/>
    <xf numFmtId="0" fontId="13" fillId="5" borderId="0" xfId="3" applyFont="1" applyFill="1"/>
    <xf numFmtId="0" fontId="17" fillId="4" borderId="0" xfId="3" applyFill="1" applyAlignment="1">
      <alignment horizontal="center"/>
    </xf>
    <xf numFmtId="0" fontId="1" fillId="9" borderId="113" xfId="0" applyFont="1" applyFill="1" applyBorder="1"/>
    <xf numFmtId="0" fontId="77" fillId="6" borderId="0" xfId="3" applyFont="1" applyFill="1"/>
    <xf numFmtId="0" fontId="77" fillId="6" borderId="0" xfId="3" applyFont="1" applyFill="1" applyAlignment="1">
      <alignment horizontal="center"/>
    </xf>
    <xf numFmtId="0" fontId="14" fillId="5" borderId="0" xfId="3" applyFont="1" applyFill="1"/>
    <xf numFmtId="0" fontId="27" fillId="5" borderId="0" xfId="3" applyFont="1" applyFill="1"/>
    <xf numFmtId="0" fontId="79" fillId="9" borderId="113" xfId="0" applyFont="1" applyFill="1" applyBorder="1" applyAlignment="1">
      <alignment horizontal="center" vertical="center"/>
    </xf>
    <xf numFmtId="0" fontId="9" fillId="4" borderId="0" xfId="3" applyFont="1" applyFill="1"/>
    <xf numFmtId="0" fontId="9" fillId="5" borderId="0" xfId="3" applyFont="1" applyFill="1"/>
    <xf numFmtId="0" fontId="18" fillId="8" borderId="0" xfId="4" applyFont="1" applyFill="1"/>
    <xf numFmtId="0" fontId="18" fillId="5" borderId="0" xfId="4" applyFont="1" applyFill="1"/>
    <xf numFmtId="0" fontId="9" fillId="5" borderId="0" xfId="4" applyFont="1" applyFill="1" applyAlignment="1">
      <alignment horizontal="right"/>
    </xf>
    <xf numFmtId="0" fontId="77" fillId="6" borderId="0" xfId="3" quotePrefix="1" applyFont="1" applyFill="1"/>
    <xf numFmtId="0" fontId="13" fillId="5" borderId="0" xfId="3" applyFont="1" applyFill="1" applyProtection="1">
      <protection locked="0"/>
    </xf>
    <xf numFmtId="0" fontId="0" fillId="3" borderId="0" xfId="0" applyFill="1" applyAlignment="1">
      <alignment horizontal="center"/>
    </xf>
    <xf numFmtId="0" fontId="1" fillId="0" borderId="0" xfId="0" applyFont="1"/>
    <xf numFmtId="0" fontId="79" fillId="9" borderId="113" xfId="0" quotePrefix="1" applyFont="1" applyFill="1" applyBorder="1" applyAlignment="1">
      <alignment horizontal="center" vertical="center"/>
    </xf>
    <xf numFmtId="0" fontId="6" fillId="12" borderId="231" xfId="3" applyFont="1" applyFill="1" applyBorder="1" applyAlignment="1">
      <alignment horizontal="left" vertical="center" indent="1"/>
    </xf>
    <xf numFmtId="0" fontId="9" fillId="28" borderId="113" xfId="3" applyFont="1" applyFill="1" applyBorder="1" applyAlignment="1" applyProtection="1">
      <alignment horizontal="center" vertical="center"/>
      <protection locked="0"/>
    </xf>
    <xf numFmtId="0" fontId="6" fillId="12" borderId="243" xfId="3" applyFont="1" applyFill="1" applyBorder="1" applyAlignment="1">
      <alignment horizontal="left" vertical="center" indent="1"/>
    </xf>
    <xf numFmtId="0" fontId="9" fillId="7" borderId="244" xfId="3" applyFont="1" applyFill="1" applyBorder="1" applyAlignment="1">
      <alignment horizontal="center" vertical="center"/>
    </xf>
    <xf numFmtId="0" fontId="9" fillId="7" borderId="245" xfId="3" applyFont="1" applyFill="1" applyBorder="1" applyAlignment="1">
      <alignment horizontal="center" vertical="center"/>
    </xf>
    <xf numFmtId="0" fontId="9" fillId="16" borderId="113" xfId="0" applyFont="1" applyFill="1" applyBorder="1" applyAlignment="1">
      <alignment horizontal="center"/>
    </xf>
    <xf numFmtId="0" fontId="6" fillId="12" borderId="246" xfId="3" applyFont="1" applyFill="1" applyBorder="1" applyAlignment="1">
      <alignment horizontal="left" vertical="center" indent="1"/>
    </xf>
    <xf numFmtId="0" fontId="9" fillId="28" borderId="247" xfId="3" applyFont="1" applyFill="1" applyBorder="1" applyAlignment="1" applyProtection="1">
      <alignment horizontal="center" vertical="center"/>
      <protection locked="0"/>
    </xf>
    <xf numFmtId="0" fontId="6" fillId="12" borderId="173" xfId="3" applyFont="1" applyFill="1" applyBorder="1" applyAlignment="1">
      <alignment horizontal="left" vertical="center" indent="1"/>
    </xf>
    <xf numFmtId="0" fontId="9" fillId="7" borderId="219" xfId="3" applyFont="1" applyFill="1" applyBorder="1" applyAlignment="1">
      <alignment horizontal="center" vertical="center"/>
    </xf>
    <xf numFmtId="0" fontId="6" fillId="12" borderId="113" xfId="3" applyFont="1" applyFill="1" applyBorder="1" applyAlignment="1">
      <alignment horizontal="left" vertical="center" indent="1"/>
    </xf>
    <xf numFmtId="0" fontId="22" fillId="4" borderId="0" xfId="0" applyFont="1" applyFill="1" applyAlignment="1">
      <alignment horizontal="center"/>
    </xf>
    <xf numFmtId="0" fontId="9" fillId="5" borderId="244" xfId="3" applyFont="1" applyFill="1" applyBorder="1" applyAlignment="1" applyProtection="1">
      <alignment horizontal="center" vertical="center"/>
      <protection locked="0"/>
    </xf>
    <xf numFmtId="0" fontId="9" fillId="5" borderId="245" xfId="3" applyFont="1" applyFill="1" applyBorder="1" applyAlignment="1" applyProtection="1">
      <alignment horizontal="center" vertical="center"/>
      <protection locked="0"/>
    </xf>
    <xf numFmtId="0" fontId="9" fillId="5" borderId="247" xfId="3" applyFont="1" applyFill="1" applyBorder="1" applyAlignment="1" applyProtection="1">
      <alignment horizontal="center" vertical="center"/>
      <protection locked="0"/>
    </xf>
    <xf numFmtId="0" fontId="9" fillId="5" borderId="190" xfId="3" applyFont="1" applyFill="1" applyBorder="1" applyAlignment="1" applyProtection="1">
      <alignment horizontal="center" vertical="center"/>
      <protection locked="0"/>
    </xf>
    <xf numFmtId="0" fontId="6" fillId="12" borderId="195" xfId="3" applyFont="1" applyFill="1" applyBorder="1" applyAlignment="1">
      <alignment horizontal="left" vertical="center" indent="1"/>
    </xf>
    <xf numFmtId="0" fontId="9" fillId="5" borderId="248" xfId="3" applyFont="1" applyFill="1" applyBorder="1" applyAlignment="1" applyProtection="1">
      <alignment horizontal="center" vertical="center"/>
      <protection locked="0"/>
    </xf>
    <xf numFmtId="0" fontId="9" fillId="5" borderId="249" xfId="3" applyFont="1" applyFill="1" applyBorder="1" applyAlignment="1" applyProtection="1">
      <alignment horizontal="center" vertical="center"/>
      <protection locked="0"/>
    </xf>
    <xf numFmtId="0" fontId="6" fillId="12" borderId="196" xfId="3" applyFont="1" applyFill="1" applyBorder="1" applyAlignment="1">
      <alignment horizontal="left" vertical="center" indent="1"/>
    </xf>
    <xf numFmtId="0" fontId="27" fillId="7" borderId="238" xfId="3" applyFont="1" applyFill="1" applyBorder="1"/>
    <xf numFmtId="0" fontId="27" fillId="7" borderId="211" xfId="3" applyFont="1" applyFill="1" applyBorder="1"/>
    <xf numFmtId="0" fontId="27" fillId="7" borderId="236" xfId="3" applyFont="1" applyFill="1" applyBorder="1"/>
    <xf numFmtId="0" fontId="9" fillId="5" borderId="113" xfId="3" applyFont="1" applyFill="1" applyBorder="1" applyProtection="1">
      <protection locked="0"/>
    </xf>
    <xf numFmtId="0" fontId="27" fillId="5" borderId="0" xfId="3" applyFont="1" applyFill="1" applyAlignment="1">
      <alignment horizontal="left" indent="5"/>
    </xf>
    <xf numFmtId="0" fontId="18" fillId="5" borderId="0" xfId="3" applyFont="1" applyFill="1" applyProtection="1">
      <protection locked="0"/>
    </xf>
    <xf numFmtId="0" fontId="17" fillId="5" borderId="234" xfId="3" applyFill="1" applyBorder="1" applyProtection="1">
      <protection locked="0"/>
    </xf>
    <xf numFmtId="0" fontId="9" fillId="5" borderId="0" xfId="3" applyFont="1" applyFill="1" applyAlignment="1">
      <alignment horizontal="left"/>
    </xf>
    <xf numFmtId="0" fontId="13" fillId="5" borderId="0" xfId="3" applyFont="1" applyFill="1" applyAlignment="1">
      <alignment horizontal="left"/>
    </xf>
    <xf numFmtId="0" fontId="6" fillId="2" borderId="113" xfId="0" applyFont="1" applyFill="1" applyBorder="1" applyAlignment="1">
      <alignment horizontal="center" vertical="center"/>
    </xf>
    <xf numFmtId="0" fontId="6" fillId="2" borderId="238" xfId="0" applyFont="1" applyFill="1" applyBorder="1" applyAlignment="1">
      <alignment horizontal="center" vertical="center" wrapText="1"/>
    </xf>
    <xf numFmtId="0" fontId="9" fillId="7" borderId="218" xfId="3" applyFont="1" applyFill="1" applyBorder="1"/>
    <xf numFmtId="0" fontId="9" fillId="5" borderId="238" xfId="3" applyFont="1" applyFill="1" applyBorder="1" applyAlignment="1" applyProtection="1">
      <alignment horizontal="center" vertical="center"/>
      <protection locked="0"/>
    </xf>
    <xf numFmtId="0" fontId="9" fillId="7" borderId="234" xfId="3" applyFont="1" applyFill="1" applyBorder="1" applyAlignment="1">
      <alignment horizontal="left"/>
    </xf>
    <xf numFmtId="0" fontId="9" fillId="7" borderId="177" xfId="3" applyFont="1" applyFill="1" applyBorder="1"/>
    <xf numFmtId="0" fontId="9" fillId="16" borderId="236" xfId="0" applyFont="1" applyFill="1" applyBorder="1" applyAlignment="1">
      <alignment horizontal="center"/>
    </xf>
    <xf numFmtId="0" fontId="9" fillId="7" borderId="252" xfId="3" applyFont="1" applyFill="1" applyBorder="1" applyAlignment="1">
      <alignment horizontal="center" vertical="center"/>
    </xf>
    <xf numFmtId="0" fontId="9" fillId="16" borderId="247" xfId="3" applyFont="1" applyFill="1" applyBorder="1" applyAlignment="1">
      <alignment horizontal="center" vertical="center"/>
    </xf>
    <xf numFmtId="2" fontId="9" fillId="19" borderId="236" xfId="3" applyNumberFormat="1" applyFont="1" applyFill="1" applyBorder="1" applyAlignment="1">
      <alignment horizontal="center" vertical="center"/>
    </xf>
    <xf numFmtId="0" fontId="9" fillId="7" borderId="102" xfId="3" applyFont="1" applyFill="1" applyBorder="1"/>
    <xf numFmtId="0" fontId="25" fillId="5" borderId="0" xfId="3" applyFont="1" applyFill="1"/>
    <xf numFmtId="0" fontId="18" fillId="5" borderId="0" xfId="3" applyFont="1" applyFill="1"/>
    <xf numFmtId="0" fontId="17" fillId="5" borderId="8" xfId="3" applyFill="1" applyBorder="1" applyProtection="1">
      <protection locked="0"/>
    </xf>
    <xf numFmtId="0" fontId="10" fillId="6" borderId="0" xfId="3" applyFont="1" applyFill="1" applyAlignment="1">
      <alignment horizontal="center"/>
    </xf>
    <xf numFmtId="1" fontId="22" fillId="25" borderId="0" xfId="0" applyNumberFormat="1" applyFont="1" applyFill="1" applyAlignment="1">
      <alignment horizontal="center"/>
    </xf>
    <xf numFmtId="0" fontId="25" fillId="5" borderId="0" xfId="3" applyFont="1" applyFill="1" applyAlignment="1">
      <alignment horizontal="left"/>
    </xf>
    <xf numFmtId="0" fontId="17" fillId="5" borderId="0" xfId="3" applyFill="1" applyAlignment="1">
      <alignment horizontal="center"/>
    </xf>
    <xf numFmtId="0" fontId="0" fillId="9" borderId="237" xfId="0" applyFill="1" applyBorder="1" applyProtection="1"/>
    <xf numFmtId="0" fontId="31" fillId="9" borderId="237" xfId="0" applyFont="1" applyFill="1" applyBorder="1" applyProtection="1"/>
    <xf numFmtId="0" fontId="0" fillId="9" borderId="237" xfId="0" applyFill="1" applyBorder="1" applyAlignment="1" applyProtection="1">
      <alignment horizontal="center" vertical="center"/>
    </xf>
    <xf numFmtId="0" fontId="73" fillId="5" borderId="0" xfId="3" applyFont="1" applyFill="1" applyBorder="1" applyProtection="1"/>
    <xf numFmtId="0" fontId="9" fillId="21" borderId="211" xfId="4" applyFont="1" applyFill="1" applyBorder="1" applyAlignment="1" applyProtection="1">
      <alignment horizontal="center"/>
      <protection locked="0"/>
    </xf>
    <xf numFmtId="0" fontId="9" fillId="5" borderId="237" xfId="0" applyFont="1" applyFill="1" applyBorder="1" applyAlignment="1" applyProtection="1">
      <alignment horizontal="center"/>
      <protection locked="0"/>
    </xf>
    <xf numFmtId="0" fontId="25" fillId="5" borderId="0" xfId="0" applyFont="1" applyFill="1" applyBorder="1" applyAlignment="1" applyProtection="1">
      <alignment horizontal="right" indent="1"/>
    </xf>
    <xf numFmtId="0" fontId="6" fillId="20" borderId="237" xfId="0" applyFont="1" applyFill="1" applyBorder="1" applyAlignment="1" applyProtection="1">
      <alignment horizontal="center" vertical="center"/>
    </xf>
    <xf numFmtId="0" fontId="9" fillId="4" borderId="0" xfId="0" applyFont="1" applyFill="1" applyBorder="1" applyAlignment="1" applyProtection="1">
      <alignment horizontal="center" vertical="center"/>
      <protection locked="0"/>
    </xf>
    <xf numFmtId="169" fontId="9" fillId="4" borderId="0" xfId="2" applyNumberFormat="1" applyFont="1" applyFill="1" applyBorder="1" applyAlignment="1" applyProtection="1">
      <alignment horizontal="center" vertical="center"/>
    </xf>
    <xf numFmtId="166" fontId="9" fillId="4" borderId="0" xfId="1" applyNumberFormat="1"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6" fillId="2" borderId="237" xfId="0" applyFont="1" applyFill="1" applyBorder="1" applyAlignment="1" applyProtection="1">
      <alignment horizontal="center" vertical="center"/>
    </xf>
    <xf numFmtId="0" fontId="6" fillId="29" borderId="237" xfId="0" applyFont="1" applyFill="1" applyBorder="1" applyAlignment="1" applyProtection="1">
      <alignment horizontal="center" vertical="center"/>
    </xf>
    <xf numFmtId="0" fontId="6" fillId="2" borderId="237" xfId="0" applyFont="1" applyFill="1" applyBorder="1" applyAlignment="1" applyProtection="1">
      <alignment horizontal="right" vertical="center"/>
    </xf>
    <xf numFmtId="0" fontId="0" fillId="42" borderId="0" xfId="0" applyFill="1"/>
    <xf numFmtId="165" fontId="9" fillId="19" borderId="237" xfId="3" applyNumberFormat="1" applyFont="1" applyFill="1" applyBorder="1" applyAlignment="1" applyProtection="1">
      <alignment horizontal="center" vertical="center"/>
    </xf>
    <xf numFmtId="0" fontId="25" fillId="5" borderId="0" xfId="4" applyFont="1" applyFill="1" applyBorder="1" applyAlignment="1" applyProtection="1">
      <alignment horizontal="right"/>
    </xf>
    <xf numFmtId="2" fontId="6" fillId="20" borderId="47" xfId="0" applyNumberFormat="1" applyFont="1" applyFill="1" applyBorder="1" applyAlignment="1">
      <alignment horizontal="center"/>
    </xf>
    <xf numFmtId="167" fontId="6" fillId="20" borderId="237" xfId="0" applyNumberFormat="1" applyFont="1" applyFill="1" applyBorder="1" applyAlignment="1">
      <alignment horizontal="center"/>
    </xf>
    <xf numFmtId="167" fontId="6" fillId="20" borderId="0" xfId="0" applyNumberFormat="1" applyFont="1" applyFill="1" applyAlignment="1">
      <alignment horizontal="center"/>
    </xf>
    <xf numFmtId="0" fontId="6" fillId="20" borderId="237" xfId="0" applyFont="1" applyFill="1" applyBorder="1" applyAlignment="1">
      <alignment horizontal="center"/>
    </xf>
    <xf numFmtId="2" fontId="16" fillId="20" borderId="56" xfId="0" applyNumberFormat="1" applyFont="1" applyFill="1" applyBorder="1" applyAlignment="1">
      <alignment horizontal="center"/>
    </xf>
    <xf numFmtId="0" fontId="6" fillId="20" borderId="0" xfId="0" applyFont="1" applyFill="1" applyAlignment="1">
      <alignment horizontal="center"/>
    </xf>
    <xf numFmtId="0" fontId="6" fillId="20" borderId="255" xfId="0" applyFont="1" applyFill="1" applyBorder="1" applyAlignment="1">
      <alignment horizontal="center"/>
    </xf>
    <xf numFmtId="2" fontId="16" fillId="20" borderId="119" xfId="0" applyNumberFormat="1" applyFont="1" applyFill="1" applyBorder="1" applyAlignment="1">
      <alignment horizontal="center"/>
    </xf>
    <xf numFmtId="2" fontId="6" fillId="20" borderId="76" xfId="0" applyNumberFormat="1" applyFont="1" applyFill="1" applyBorder="1" applyAlignment="1">
      <alignment horizontal="center"/>
    </xf>
    <xf numFmtId="0" fontId="6" fillId="20" borderId="236" xfId="0" applyFont="1" applyFill="1" applyBorder="1" applyAlignment="1">
      <alignment horizontal="center"/>
    </xf>
    <xf numFmtId="2" fontId="6" fillId="20" borderId="56" xfId="0" applyNumberFormat="1" applyFont="1" applyFill="1" applyBorder="1" applyAlignment="1">
      <alignment horizontal="center"/>
    </xf>
    <xf numFmtId="0" fontId="77" fillId="9" borderId="0" xfId="0" applyFont="1" applyFill="1" applyBorder="1"/>
    <xf numFmtId="167" fontId="77" fillId="9" borderId="0" xfId="0" applyNumberFormat="1" applyFont="1" applyFill="1" applyBorder="1"/>
    <xf numFmtId="0" fontId="77" fillId="9" borderId="0" xfId="0" applyFont="1" applyFill="1" applyBorder="1" applyAlignment="1">
      <alignment horizontal="left"/>
    </xf>
    <xf numFmtId="0" fontId="6" fillId="20" borderId="56" xfId="0" applyFont="1" applyFill="1" applyBorder="1" applyAlignment="1" applyProtection="1">
      <alignment horizontal="center"/>
    </xf>
    <xf numFmtId="0" fontId="6" fillId="2" borderId="238" xfId="0" applyFont="1" applyFill="1" applyBorder="1" applyAlignment="1" applyProtection="1">
      <alignment horizontal="center" vertical="center"/>
    </xf>
    <xf numFmtId="169" fontId="6" fillId="20" borderId="238" xfId="2" applyNumberFormat="1" applyFont="1" applyFill="1" applyBorder="1" applyAlignment="1" applyProtection="1">
      <alignment horizontal="center" vertical="center"/>
    </xf>
    <xf numFmtId="0" fontId="0" fillId="2" borderId="258" xfId="0" applyFill="1" applyBorder="1" applyProtection="1"/>
    <xf numFmtId="0" fontId="9" fillId="16" borderId="236" xfId="0" applyFont="1" applyFill="1" applyBorder="1" applyAlignment="1" applyProtection="1">
      <alignment horizontal="center" vertical="center"/>
    </xf>
    <xf numFmtId="0" fontId="6" fillId="20" borderId="236" xfId="0" applyFont="1" applyFill="1" applyBorder="1" applyAlignment="1" applyProtection="1">
      <alignment horizontal="center" vertical="center"/>
    </xf>
    <xf numFmtId="0" fontId="6" fillId="2" borderId="173" xfId="0" applyFont="1" applyFill="1" applyBorder="1" applyAlignment="1" applyProtection="1">
      <alignment horizontal="left"/>
    </xf>
    <xf numFmtId="0" fontId="6" fillId="2" borderId="233" xfId="0" applyFont="1" applyFill="1" applyBorder="1" applyAlignment="1" applyProtection="1">
      <alignment horizontal="left"/>
    </xf>
    <xf numFmtId="0" fontId="6" fillId="2" borderId="256" xfId="0" applyFont="1" applyFill="1" applyBorder="1" applyProtection="1"/>
    <xf numFmtId="0" fontId="0" fillId="2" borderId="257" xfId="0" applyFill="1" applyBorder="1" applyProtection="1"/>
    <xf numFmtId="0" fontId="0" fillId="0" borderId="0" xfId="0" applyAlignment="1">
      <alignment horizontal="left" wrapText="1"/>
    </xf>
    <xf numFmtId="0" fontId="75" fillId="0" borderId="0" xfId="0" applyFont="1" applyAlignment="1">
      <alignment horizontal="left" wrapText="1"/>
    </xf>
    <xf numFmtId="0" fontId="25" fillId="5" borderId="0" xfId="0" applyFont="1" applyFill="1" applyBorder="1" applyAlignment="1" applyProtection="1">
      <alignment horizontal="left"/>
    </xf>
    <xf numFmtId="0" fontId="6" fillId="0" borderId="8" xfId="0" applyFont="1" applyBorder="1" applyAlignment="1" applyProtection="1">
      <alignment horizontal="center"/>
      <protection locked="0"/>
    </xf>
    <xf numFmtId="0" fontId="9" fillId="5" borderId="13" xfId="0" applyFont="1" applyFill="1" applyBorder="1" applyAlignment="1" applyProtection="1">
      <alignment horizontal="left"/>
      <protection locked="0"/>
    </xf>
    <xf numFmtId="0" fontId="9" fillId="5" borderId="14" xfId="0" applyFont="1" applyFill="1" applyBorder="1" applyAlignment="1" applyProtection="1">
      <alignment horizontal="left"/>
      <protection locked="0"/>
    </xf>
    <xf numFmtId="0" fontId="25" fillId="5" borderId="0" xfId="0" applyFont="1" applyFill="1" applyBorder="1" applyAlignment="1" applyProtection="1">
      <alignment horizontal="right"/>
    </xf>
    <xf numFmtId="0" fontId="25" fillId="5" borderId="182" xfId="0" applyFont="1" applyFill="1" applyBorder="1" applyAlignment="1" applyProtection="1">
      <alignment horizontal="right"/>
    </xf>
    <xf numFmtId="0" fontId="18" fillId="5" borderId="0" xfId="0" applyFont="1" applyFill="1" applyBorder="1" applyAlignment="1" applyProtection="1">
      <alignment horizontal="left"/>
    </xf>
    <xf numFmtId="0" fontId="9" fillId="5" borderId="0" xfId="0" applyFont="1" applyFill="1" applyBorder="1" applyAlignment="1" applyProtection="1">
      <alignment horizontal="center"/>
      <protection locked="0"/>
    </xf>
    <xf numFmtId="0" fontId="9" fillId="5" borderId="189" xfId="0" applyFont="1" applyFill="1" applyBorder="1" applyAlignment="1" applyProtection="1">
      <alignment horizontal="center"/>
      <protection locked="0"/>
    </xf>
    <xf numFmtId="0" fontId="25" fillId="5" borderId="202" xfId="0" applyFont="1" applyFill="1" applyBorder="1" applyAlignment="1" applyProtection="1">
      <alignment horizontal="center"/>
    </xf>
    <xf numFmtId="0" fontId="9" fillId="5" borderId="203" xfId="0" applyFont="1" applyFill="1" applyBorder="1" applyAlignment="1" applyProtection="1">
      <alignment horizontal="center"/>
      <protection locked="0"/>
    </xf>
    <xf numFmtId="0" fontId="9" fillId="5" borderId="13" xfId="0" applyFont="1" applyFill="1" applyBorder="1" applyAlignment="1" applyProtection="1">
      <protection locked="0"/>
    </xf>
    <xf numFmtId="0" fontId="9" fillId="5" borderId="14" xfId="0" applyFont="1" applyFill="1" applyBorder="1" applyAlignment="1" applyProtection="1">
      <protection locked="0"/>
    </xf>
    <xf numFmtId="0" fontId="5" fillId="0" borderId="2" xfId="0" applyFont="1" applyBorder="1" applyAlignment="1" applyProtection="1">
      <alignment horizontal="right"/>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Border="1" applyAlignment="1" applyProtection="1">
      <alignment horizontal="right"/>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49" fontId="9" fillId="4" borderId="11" xfId="0" applyNumberFormat="1" applyFont="1" applyFill="1" applyBorder="1" applyAlignment="1" applyProtection="1">
      <protection locked="0"/>
    </xf>
    <xf numFmtId="49" fontId="9" fillId="4" borderId="12" xfId="0" applyNumberFormat="1" applyFont="1" applyFill="1" applyBorder="1" applyAlignment="1" applyProtection="1">
      <protection locked="0"/>
    </xf>
    <xf numFmtId="0" fontId="10" fillId="5" borderId="11" xfId="0" applyFont="1" applyFill="1" applyBorder="1" applyAlignment="1" applyProtection="1">
      <alignment horizontal="center"/>
    </xf>
    <xf numFmtId="0" fontId="10" fillId="5" borderId="13" xfId="0" applyFont="1" applyFill="1" applyBorder="1" applyAlignment="1" applyProtection="1">
      <alignment horizontal="center"/>
    </xf>
    <xf numFmtId="0" fontId="10" fillId="5" borderId="0" xfId="0" applyFont="1" applyFill="1" applyBorder="1" applyAlignment="1" applyProtection="1">
      <alignment horizontal="center"/>
    </xf>
    <xf numFmtId="0" fontId="10" fillId="5" borderId="0" xfId="0" applyFont="1" applyFill="1" applyBorder="1" applyAlignment="1" applyProtection="1">
      <alignment horizontal="left"/>
    </xf>
    <xf numFmtId="0" fontId="10" fillId="5" borderId="0" xfId="0" applyFont="1" applyFill="1" applyBorder="1" applyAlignment="1" applyProtection="1"/>
    <xf numFmtId="0" fontId="15" fillId="5" borderId="0" xfId="0" applyFont="1" applyFill="1" applyBorder="1" applyAlignment="1" applyProtection="1">
      <alignment horizontal="left"/>
    </xf>
    <xf numFmtId="0" fontId="0" fillId="9" borderId="0" xfId="0" applyFill="1" applyAlignment="1" applyProtection="1">
      <alignment horizontal="center" vertical="center" wrapText="1"/>
    </xf>
    <xf numFmtId="0" fontId="0" fillId="0" borderId="238" xfId="0" applyBorder="1" applyAlignment="1" applyProtection="1">
      <alignment horizontal="center"/>
    </xf>
    <xf numFmtId="0" fontId="0" fillId="0" borderId="236" xfId="0" applyBorder="1" applyAlignment="1" applyProtection="1">
      <alignment horizontal="center"/>
    </xf>
    <xf numFmtId="0" fontId="0" fillId="0" borderId="173" xfId="0" applyBorder="1" applyAlignment="1" applyProtection="1">
      <alignment horizontal="center"/>
    </xf>
    <xf numFmtId="0" fontId="0" fillId="0" borderId="182" xfId="0" applyBorder="1" applyAlignment="1" applyProtection="1">
      <alignment horizontal="center"/>
    </xf>
    <xf numFmtId="0" fontId="0" fillId="0" borderId="233" xfId="0" applyBorder="1" applyAlignment="1" applyProtection="1">
      <alignment horizontal="center"/>
    </xf>
    <xf numFmtId="0" fontId="0" fillId="0" borderId="241" xfId="0" applyBorder="1" applyAlignment="1" applyProtection="1">
      <alignment horizontal="center"/>
    </xf>
    <xf numFmtId="0" fontId="0" fillId="0" borderId="113" xfId="0" applyBorder="1" applyAlignment="1" applyProtection="1">
      <alignment horizontal="center"/>
    </xf>
    <xf numFmtId="0" fontId="2" fillId="0" borderId="238" xfId="0" applyFont="1" applyBorder="1" applyAlignment="1">
      <alignment horizontal="center"/>
    </xf>
    <xf numFmtId="0" fontId="2" fillId="0" borderId="236" xfId="0" applyFont="1" applyBorder="1" applyAlignment="1">
      <alignment horizontal="center"/>
    </xf>
    <xf numFmtId="0" fontId="0" fillId="0" borderId="231" xfId="0" applyBorder="1" applyAlignment="1" applyProtection="1">
      <alignment horizontal="center"/>
    </xf>
    <xf numFmtId="0" fontId="0" fillId="0" borderId="225" xfId="0" applyBorder="1" applyAlignment="1" applyProtection="1">
      <alignment horizontal="center"/>
    </xf>
    <xf numFmtId="0" fontId="0" fillId="0" borderId="113" xfId="0" applyBorder="1" applyAlignment="1">
      <alignment horizontal="center" vertical="center"/>
    </xf>
    <xf numFmtId="0" fontId="0" fillId="0" borderId="209" xfId="0" applyBorder="1" applyAlignment="1">
      <alignment horizontal="center" vertical="center"/>
    </xf>
    <xf numFmtId="0" fontId="9" fillId="5" borderId="26" xfId="0" applyFont="1" applyFill="1" applyBorder="1" applyAlignment="1" applyProtection="1">
      <alignment horizontal="left" vertical="center" wrapText="1"/>
    </xf>
    <xf numFmtId="0" fontId="9" fillId="5" borderId="13" xfId="0" applyFont="1" applyFill="1" applyBorder="1" applyAlignment="1" applyProtection="1">
      <alignment horizontal="left" vertical="center" wrapText="1"/>
    </xf>
    <xf numFmtId="0" fontId="9" fillId="5" borderId="27"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18" fillId="5" borderId="13" xfId="0" applyFont="1" applyFill="1" applyBorder="1" applyAlignment="1" applyProtection="1">
      <alignment horizontal="left" vertical="center" wrapText="1"/>
    </xf>
    <xf numFmtId="0" fontId="18" fillId="5" borderId="27" xfId="0" applyFont="1" applyFill="1" applyBorder="1" applyAlignment="1" applyProtection="1">
      <alignment horizontal="left" vertical="center" wrapText="1"/>
    </xf>
    <xf numFmtId="0" fontId="9" fillId="8" borderId="29" xfId="0" applyFont="1" applyFill="1" applyBorder="1" applyAlignment="1" applyProtection="1">
      <alignment horizontal="left" vertical="center" wrapText="1"/>
    </xf>
    <xf numFmtId="0" fontId="9" fillId="8" borderId="30" xfId="0" applyFont="1" applyFill="1" applyBorder="1" applyAlignment="1" applyProtection="1">
      <alignment horizontal="left" vertical="center" wrapText="1"/>
    </xf>
    <xf numFmtId="0" fontId="9" fillId="8" borderId="31" xfId="0" applyFont="1" applyFill="1" applyBorder="1" applyAlignment="1" applyProtection="1">
      <alignment horizontal="left" vertical="center" wrapText="1"/>
    </xf>
    <xf numFmtId="0" fontId="9" fillId="5" borderId="164" xfId="0" applyFont="1" applyFill="1" applyBorder="1" applyAlignment="1" applyProtection="1">
      <alignment horizontal="center"/>
      <protection locked="0"/>
    </xf>
    <xf numFmtId="0" fontId="18" fillId="5" borderId="0" xfId="3" applyFont="1" applyFill="1" applyBorder="1" applyAlignment="1" applyProtection="1">
      <alignment horizontal="center"/>
      <protection locked="0"/>
    </xf>
    <xf numFmtId="0" fontId="9" fillId="5" borderId="36" xfId="0" applyFont="1" applyFill="1" applyBorder="1" applyAlignment="1" applyProtection="1">
      <alignment horizontal="left" vertical="center" wrapText="1"/>
    </xf>
    <xf numFmtId="0" fontId="9" fillId="5" borderId="37" xfId="0" applyFont="1" applyFill="1" applyBorder="1" applyAlignment="1" applyProtection="1">
      <alignment horizontal="left" vertical="center" wrapText="1"/>
    </xf>
    <xf numFmtId="0" fontId="9" fillId="5" borderId="215" xfId="0" applyFont="1" applyFill="1" applyBorder="1" applyAlignment="1" applyProtection="1">
      <alignment horizontal="left" vertical="center" wrapText="1"/>
    </xf>
    <xf numFmtId="0" fontId="9" fillId="16" borderId="113" xfId="0" applyFont="1" applyFill="1" applyBorder="1" applyAlignment="1" applyProtection="1">
      <alignment horizontal="center"/>
    </xf>
    <xf numFmtId="0" fontId="18" fillId="5" borderId="23" xfId="0" applyFont="1" applyFill="1" applyBorder="1" applyAlignment="1" applyProtection="1">
      <alignment horizontal="left" vertical="center" wrapText="1"/>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9" fillId="5" borderId="26" xfId="0" applyFont="1" applyFill="1" applyBorder="1" applyAlignment="1" applyProtection="1">
      <alignment vertical="center" wrapText="1"/>
    </xf>
    <xf numFmtId="0" fontId="9" fillId="5" borderId="13" xfId="0" applyFont="1" applyFill="1" applyBorder="1" applyAlignment="1" applyProtection="1">
      <alignment vertical="center" wrapText="1"/>
    </xf>
    <xf numFmtId="0" fontId="9" fillId="5" borderId="27" xfId="0" applyFont="1" applyFill="1" applyBorder="1" applyAlignment="1" applyProtection="1">
      <alignment vertical="center" wrapText="1"/>
    </xf>
    <xf numFmtId="0" fontId="9" fillId="0" borderId="26" xfId="0" applyFont="1" applyFill="1" applyBorder="1" applyAlignment="1" applyProtection="1">
      <alignment vertical="center" wrapText="1"/>
    </xf>
    <xf numFmtId="0" fontId="9" fillId="0" borderId="13" xfId="0" applyFont="1" applyFill="1" applyBorder="1" applyAlignment="1" applyProtection="1">
      <alignment vertical="center" wrapText="1"/>
    </xf>
    <xf numFmtId="0" fontId="9" fillId="0" borderId="27" xfId="0" applyFont="1" applyFill="1" applyBorder="1" applyAlignment="1" applyProtection="1">
      <alignment vertical="center" wrapText="1"/>
    </xf>
    <xf numFmtId="0" fontId="9" fillId="16" borderId="8" xfId="0" applyFont="1" applyFill="1" applyBorder="1" applyAlignment="1" applyProtection="1">
      <alignment horizontal="center" vertical="center"/>
    </xf>
    <xf numFmtId="0" fontId="9" fillId="16" borderId="19" xfId="0" applyFont="1" applyFill="1" applyBorder="1" applyAlignment="1" applyProtection="1">
      <alignment horizontal="center" vertical="center"/>
    </xf>
    <xf numFmtId="0" fontId="9" fillId="16" borderId="20" xfId="0" applyFont="1" applyFill="1" applyBorder="1" applyAlignment="1" applyProtection="1">
      <alignment horizontal="center" vertical="center"/>
    </xf>
    <xf numFmtId="0" fontId="9" fillId="5" borderId="75" xfId="0" applyFont="1" applyFill="1" applyBorder="1" applyAlignment="1" applyProtection="1">
      <alignment horizontal="center" vertical="center"/>
      <protection locked="0"/>
    </xf>
    <xf numFmtId="0" fontId="9" fillId="5" borderId="69" xfId="0" applyFont="1" applyFill="1" applyBorder="1" applyAlignment="1" applyProtection="1">
      <alignment horizontal="center" vertical="center"/>
      <protection locked="0"/>
    </xf>
    <xf numFmtId="0" fontId="9" fillId="19" borderId="75" xfId="0" applyFont="1" applyFill="1" applyBorder="1" applyAlignment="1" applyProtection="1">
      <alignment horizontal="center" vertical="center"/>
    </xf>
    <xf numFmtId="0" fontId="9" fillId="19" borderId="69" xfId="0" applyFont="1" applyFill="1" applyBorder="1" applyAlignment="1" applyProtection="1">
      <alignment horizontal="center" vertical="center"/>
    </xf>
    <xf numFmtId="0" fontId="9" fillId="16" borderId="58" xfId="0" applyFont="1" applyFill="1" applyBorder="1" applyAlignment="1" applyProtection="1">
      <alignment horizontal="center" vertical="center"/>
    </xf>
    <xf numFmtId="0" fontId="9" fillId="16" borderId="17" xfId="0" applyFont="1" applyFill="1" applyBorder="1" applyAlignment="1" applyProtection="1">
      <alignment horizontal="center" vertical="center"/>
    </xf>
    <xf numFmtId="0" fontId="9" fillId="16" borderId="59" xfId="0" applyFont="1" applyFill="1" applyBorder="1" applyAlignment="1" applyProtection="1">
      <alignment horizontal="center" vertical="center"/>
    </xf>
    <xf numFmtId="0" fontId="9" fillId="16" borderId="62" xfId="0" applyFont="1" applyFill="1" applyBorder="1" applyAlignment="1" applyProtection="1">
      <alignment horizontal="center" vertical="center"/>
    </xf>
    <xf numFmtId="0" fontId="9" fillId="16" borderId="11" xfId="0" applyFont="1" applyFill="1" applyBorder="1" applyAlignment="1" applyProtection="1">
      <alignment horizontal="center" vertical="center"/>
    </xf>
    <xf numFmtId="0" fontId="9" fillId="16" borderId="63" xfId="0" applyFont="1" applyFill="1" applyBorder="1" applyAlignment="1" applyProtection="1">
      <alignment horizontal="center" vertical="center"/>
    </xf>
    <xf numFmtId="0" fontId="9" fillId="16" borderId="22" xfId="0" applyFont="1" applyFill="1" applyBorder="1" applyAlignment="1" applyProtection="1">
      <alignment horizontal="center"/>
    </xf>
    <xf numFmtId="0" fontId="9" fillId="16" borderId="68" xfId="0" applyFont="1" applyFill="1" applyBorder="1" applyAlignment="1" applyProtection="1">
      <alignment horizontal="center" vertical="center" wrapText="1"/>
    </xf>
    <xf numFmtId="0" fontId="9" fillId="16" borderId="44" xfId="0" applyFont="1" applyFill="1" applyBorder="1" applyAlignment="1" applyProtection="1">
      <alignment horizontal="center" vertical="center" wrapText="1"/>
    </xf>
    <xf numFmtId="0" fontId="9" fillId="16" borderId="0" xfId="0" applyFont="1" applyFill="1" applyBorder="1" applyAlignment="1" applyProtection="1">
      <alignment horizontal="center" vertical="center"/>
    </xf>
    <xf numFmtId="0" fontId="9" fillId="16" borderId="16" xfId="0" applyFont="1" applyFill="1" applyBorder="1" applyAlignment="1" applyProtection="1">
      <alignment horizontal="center" vertical="center"/>
    </xf>
    <xf numFmtId="0" fontId="9" fillId="16" borderId="18" xfId="0" applyFont="1" applyFill="1" applyBorder="1" applyAlignment="1" applyProtection="1">
      <alignment horizontal="center" vertical="center"/>
    </xf>
    <xf numFmtId="0" fontId="9" fillId="16" borderId="70" xfId="0" applyFont="1" applyFill="1" applyBorder="1" applyAlignment="1" applyProtection="1">
      <alignment horizontal="center" vertical="center"/>
    </xf>
    <xf numFmtId="0" fontId="9" fillId="16" borderId="71" xfId="0" applyFont="1" applyFill="1" applyBorder="1" applyAlignment="1" applyProtection="1">
      <alignment horizontal="center" vertical="center"/>
    </xf>
    <xf numFmtId="0" fontId="9" fillId="16" borderId="69" xfId="0" applyFont="1" applyFill="1" applyBorder="1" applyAlignment="1" applyProtection="1">
      <alignment horizontal="center"/>
    </xf>
    <xf numFmtId="0" fontId="9" fillId="16" borderId="151" xfId="0" applyFont="1" applyFill="1" applyBorder="1" applyAlignment="1" applyProtection="1">
      <alignment horizontal="center" vertical="center"/>
    </xf>
    <xf numFmtId="0" fontId="9" fillId="16" borderId="103" xfId="0" applyFont="1" applyFill="1" applyBorder="1" applyAlignment="1" applyProtection="1">
      <alignment horizontal="center" vertical="center"/>
    </xf>
    <xf numFmtId="0" fontId="9" fillId="16" borderId="152" xfId="0" applyFont="1" applyFill="1" applyBorder="1" applyAlignment="1" applyProtection="1">
      <alignment horizontal="center" vertical="center"/>
    </xf>
    <xf numFmtId="0" fontId="9" fillId="16" borderId="153" xfId="0" applyFont="1" applyFill="1" applyBorder="1" applyAlignment="1" applyProtection="1">
      <alignment horizontal="center" vertical="center"/>
    </xf>
    <xf numFmtId="0" fontId="9" fillId="16" borderId="155" xfId="0" applyFont="1" applyFill="1" applyBorder="1" applyAlignment="1" applyProtection="1">
      <alignment horizontal="center" vertical="center"/>
    </xf>
    <xf numFmtId="0" fontId="9" fillId="16" borderId="73" xfId="0" applyFont="1" applyFill="1" applyBorder="1" applyAlignment="1" applyProtection="1">
      <alignment horizontal="center" vertical="center"/>
    </xf>
    <xf numFmtId="0" fontId="9" fillId="16" borderId="156" xfId="0" applyFont="1" applyFill="1" applyBorder="1" applyAlignment="1" applyProtection="1">
      <alignment horizontal="center" vertical="center"/>
    </xf>
    <xf numFmtId="0" fontId="9" fillId="16" borderId="44" xfId="0" applyFont="1" applyFill="1" applyBorder="1" applyAlignment="1" applyProtection="1">
      <alignment horizontal="center" vertical="center"/>
    </xf>
    <xf numFmtId="0" fontId="9" fillId="5" borderId="8" xfId="0" applyFont="1" applyFill="1" applyBorder="1" applyAlignment="1" applyProtection="1">
      <alignment horizontal="center"/>
      <protection locked="0"/>
    </xf>
    <xf numFmtId="0" fontId="9" fillId="16" borderId="16" xfId="0" applyFont="1" applyFill="1" applyBorder="1" applyAlignment="1" applyProtection="1">
      <alignment horizontal="center" vertical="center" wrapText="1"/>
    </xf>
    <xf numFmtId="0" fontId="6" fillId="2" borderId="19" xfId="0" applyFont="1" applyFill="1" applyBorder="1" applyAlignment="1" applyProtection="1">
      <alignment horizontal="center"/>
    </xf>
    <xf numFmtId="0" fontId="6" fillId="2" borderId="8" xfId="0" applyFont="1" applyFill="1" applyBorder="1" applyAlignment="1" applyProtection="1">
      <alignment horizontal="center"/>
    </xf>
    <xf numFmtId="0" fontId="6" fillId="2" borderId="6" xfId="0" applyFont="1" applyFill="1" applyBorder="1" applyAlignment="1" applyProtection="1">
      <alignment horizontal="center"/>
    </xf>
    <xf numFmtId="0" fontId="6" fillId="2" borderId="69" xfId="0" applyFont="1" applyFill="1" applyBorder="1" applyAlignment="1" applyProtection="1">
      <alignment horizontal="center"/>
    </xf>
    <xf numFmtId="0" fontId="18" fillId="5" borderId="164" xfId="0" applyFont="1" applyFill="1" applyBorder="1" applyAlignment="1" applyProtection="1">
      <alignment horizontal="center"/>
      <protection locked="0"/>
    </xf>
    <xf numFmtId="0" fontId="86" fillId="11" borderId="88" xfId="0" applyFont="1" applyFill="1" applyBorder="1" applyAlignment="1" applyProtection="1">
      <alignment horizontal="center" vertical="center" wrapText="1"/>
    </xf>
    <xf numFmtId="0" fontId="86" fillId="11" borderId="83" xfId="0" applyFont="1" applyFill="1" applyBorder="1" applyAlignment="1" applyProtection="1">
      <alignment horizontal="center" vertical="center" wrapText="1"/>
    </xf>
    <xf numFmtId="0" fontId="6" fillId="10" borderId="88" xfId="0" applyFont="1" applyFill="1" applyBorder="1" applyAlignment="1" applyProtection="1">
      <alignment horizontal="center" vertical="center" wrapText="1"/>
    </xf>
    <xf numFmtId="0" fontId="6" fillId="10" borderId="83" xfId="0" applyFont="1" applyFill="1" applyBorder="1" applyAlignment="1" applyProtection="1">
      <alignment horizontal="center" vertical="center" wrapText="1"/>
    </xf>
    <xf numFmtId="0" fontId="86" fillId="10" borderId="88" xfId="0" applyFont="1" applyFill="1" applyBorder="1" applyAlignment="1" applyProtection="1">
      <alignment horizontal="center" vertical="center" wrapText="1"/>
    </xf>
    <xf numFmtId="0" fontId="86" fillId="10" borderId="83" xfId="0" applyFont="1" applyFill="1" applyBorder="1" applyAlignment="1" applyProtection="1">
      <alignment horizontal="center" vertical="center" wrapText="1"/>
    </xf>
    <xf numFmtId="0" fontId="6" fillId="11" borderId="88" xfId="0" applyFont="1" applyFill="1" applyBorder="1" applyAlignment="1" applyProtection="1">
      <alignment horizontal="center" vertical="center" wrapText="1"/>
    </xf>
    <xf numFmtId="0" fontId="6" fillId="11" borderId="83" xfId="0" applyFont="1" applyFill="1" applyBorder="1" applyAlignment="1" applyProtection="1">
      <alignment horizontal="center" vertical="center" wrapText="1"/>
    </xf>
    <xf numFmtId="0" fontId="6" fillId="2" borderId="227" xfId="0" applyFont="1" applyFill="1" applyBorder="1" applyAlignment="1" applyProtection="1">
      <alignment horizontal="center" vertical="center"/>
    </xf>
    <xf numFmtId="0" fontId="6" fillId="2" borderId="226" xfId="0" applyFont="1" applyFill="1" applyBorder="1" applyAlignment="1" applyProtection="1">
      <alignment horizontal="center" vertical="center"/>
    </xf>
    <xf numFmtId="0" fontId="6" fillId="0" borderId="227" xfId="0" applyFont="1" applyBorder="1" applyAlignment="1" applyProtection="1">
      <alignment horizontal="center" vertical="center"/>
      <protection locked="0"/>
    </xf>
    <xf numFmtId="0" fontId="6" fillId="0" borderId="226" xfId="0" applyFont="1" applyBorder="1" applyAlignment="1" applyProtection="1">
      <alignment horizontal="center" vertical="center"/>
      <protection locked="0"/>
    </xf>
    <xf numFmtId="0" fontId="9" fillId="16" borderId="75" xfId="0" applyFont="1" applyFill="1" applyBorder="1" applyAlignment="1" applyProtection="1">
      <alignment horizontal="center" vertical="center"/>
    </xf>
    <xf numFmtId="0" fontId="9" fillId="16" borderId="69" xfId="0" applyFont="1" applyFill="1" applyBorder="1" applyAlignment="1" applyProtection="1">
      <alignment horizontal="center" vertical="center"/>
    </xf>
    <xf numFmtId="0" fontId="6" fillId="10" borderId="77" xfId="0" applyFont="1" applyFill="1" applyBorder="1" applyAlignment="1" applyProtection="1">
      <alignment horizontal="center" vertical="center" wrapText="1"/>
    </xf>
    <xf numFmtId="0" fontId="6" fillId="10" borderId="78" xfId="0" applyFont="1" applyFill="1" applyBorder="1" applyAlignment="1" applyProtection="1">
      <alignment horizontal="center" vertical="center" wrapText="1"/>
    </xf>
    <xf numFmtId="0" fontId="6" fillId="10" borderId="79" xfId="0" applyFont="1" applyFill="1" applyBorder="1" applyAlignment="1" applyProtection="1">
      <alignment horizontal="center" vertical="center" wrapText="1"/>
    </xf>
    <xf numFmtId="0" fontId="6" fillId="11" borderId="81" xfId="0" applyFont="1" applyFill="1" applyBorder="1" applyAlignment="1" applyProtection="1">
      <alignment horizontal="center" vertical="center" wrapText="1"/>
    </xf>
    <xf numFmtId="0" fontId="6" fillId="11" borderId="82" xfId="0" applyFont="1" applyFill="1" applyBorder="1" applyAlignment="1" applyProtection="1">
      <alignment horizontal="center" vertical="center" wrapText="1"/>
    </xf>
    <xf numFmtId="0" fontId="6" fillId="11" borderId="84" xfId="0" applyFont="1" applyFill="1" applyBorder="1" applyAlignment="1" applyProtection="1">
      <alignment horizontal="center" vertical="center" wrapText="1"/>
    </xf>
    <xf numFmtId="0" fontId="6" fillId="11" borderId="85" xfId="0" applyFont="1" applyFill="1" applyBorder="1" applyAlignment="1" applyProtection="1">
      <alignment horizontal="center" vertical="center" wrapText="1"/>
    </xf>
    <xf numFmtId="0" fontId="9" fillId="5" borderId="6" xfId="0" applyFont="1" applyFill="1" applyBorder="1" applyAlignment="1" applyProtection="1">
      <alignment horizontal="center"/>
      <protection locked="0"/>
    </xf>
    <xf numFmtId="2" fontId="6" fillId="20" borderId="68" xfId="0" applyNumberFormat="1" applyFont="1" applyFill="1" applyBorder="1" applyAlignment="1" applyProtection="1">
      <alignment horizontal="center" vertical="center"/>
    </xf>
    <xf numFmtId="2" fontId="6" fillId="20" borderId="44" xfId="0" applyNumberFormat="1" applyFont="1" applyFill="1" applyBorder="1" applyAlignment="1" applyProtection="1">
      <alignment horizontal="center" vertical="center"/>
    </xf>
    <xf numFmtId="2" fontId="6" fillId="20" borderId="73" xfId="0" applyNumberFormat="1" applyFont="1" applyFill="1" applyBorder="1" applyAlignment="1" applyProtection="1">
      <alignment horizontal="center" vertical="center"/>
    </xf>
    <xf numFmtId="1" fontId="6" fillId="20" borderId="73" xfId="0" applyNumberFormat="1" applyFont="1" applyFill="1" applyBorder="1" applyAlignment="1" applyProtection="1">
      <alignment horizontal="center" vertical="center"/>
    </xf>
    <xf numFmtId="1" fontId="6" fillId="20" borderId="22" xfId="0" applyNumberFormat="1" applyFont="1" applyFill="1" applyBorder="1" applyAlignment="1" applyProtection="1">
      <alignment horizontal="center" vertical="center"/>
    </xf>
    <xf numFmtId="0" fontId="6" fillId="37" borderId="173" xfId="0" applyFont="1" applyFill="1" applyBorder="1" applyAlignment="1" applyProtection="1">
      <alignment horizontal="center" vertical="center"/>
      <protection locked="0"/>
    </xf>
    <xf numFmtId="0" fontId="6" fillId="37" borderId="0" xfId="0" applyFont="1" applyFill="1" applyBorder="1" applyAlignment="1" applyProtection="1">
      <alignment horizontal="center" vertical="center"/>
      <protection locked="0"/>
    </xf>
    <xf numFmtId="0" fontId="6" fillId="37" borderId="182" xfId="0" applyFont="1" applyFill="1" applyBorder="1" applyAlignment="1" applyProtection="1">
      <alignment horizontal="center" vertical="center"/>
      <protection locked="0"/>
    </xf>
    <xf numFmtId="0" fontId="6" fillId="37" borderId="256" xfId="0" applyFont="1" applyFill="1" applyBorder="1" applyAlignment="1" applyProtection="1">
      <alignment horizontal="center" vertical="center"/>
      <protection locked="0"/>
    </xf>
    <xf numFmtId="0" fontId="6" fillId="37" borderId="257" xfId="0" applyFont="1" applyFill="1" applyBorder="1" applyAlignment="1" applyProtection="1">
      <alignment horizontal="center" vertical="center"/>
      <protection locked="0"/>
    </xf>
    <xf numFmtId="0" fontId="6" fillId="37" borderId="25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68" xfId="0" applyFont="1" applyFill="1" applyBorder="1" applyAlignment="1" applyProtection="1">
      <alignment horizontal="center" vertical="center" wrapText="1"/>
    </xf>
    <xf numFmtId="0" fontId="6" fillId="2" borderId="73" xfId="0" applyFont="1" applyFill="1" applyBorder="1" applyAlignment="1" applyProtection="1">
      <alignment horizontal="center" vertical="center" wrapText="1"/>
    </xf>
    <xf numFmtId="1" fontId="6" fillId="2" borderId="73" xfId="0" applyNumberFormat="1" applyFont="1" applyFill="1" applyBorder="1" applyAlignment="1" applyProtection="1">
      <alignment horizontal="center" vertical="center"/>
    </xf>
    <xf numFmtId="1" fontId="6" fillId="2" borderId="22" xfId="0" applyNumberFormat="1"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6" fillId="2" borderId="73" xfId="0" applyFont="1" applyFill="1" applyBorder="1" applyAlignment="1" applyProtection="1">
      <alignment horizontal="center" vertical="center"/>
    </xf>
    <xf numFmtId="0" fontId="18" fillId="5" borderId="234" xfId="0" applyFont="1" applyFill="1" applyBorder="1" applyAlignment="1" applyProtection="1">
      <alignment horizontal="center"/>
      <protection locked="0"/>
    </xf>
    <xf numFmtId="0" fontId="9" fillId="5" borderId="234" xfId="0" applyFont="1" applyFill="1" applyBorder="1" applyAlignment="1" applyProtection="1">
      <alignment horizontal="center"/>
      <protection locked="0"/>
    </xf>
    <xf numFmtId="0" fontId="9" fillId="5" borderId="211" xfId="0" applyFont="1" applyFill="1" applyBorder="1" applyAlignment="1" applyProtection="1">
      <alignment horizontal="center"/>
      <protection locked="0"/>
    </xf>
    <xf numFmtId="0" fontId="9" fillId="16" borderId="233" xfId="0" applyFont="1" applyFill="1" applyBorder="1" applyAlignment="1" applyProtection="1">
      <alignment horizontal="center" vertical="center"/>
    </xf>
    <xf numFmtId="0" fontId="9" fillId="16" borderId="226" xfId="0" applyFont="1" applyFill="1" applyBorder="1" applyAlignment="1" applyProtection="1">
      <alignment horizontal="center" vertical="center"/>
    </xf>
    <xf numFmtId="0" fontId="9" fillId="16" borderId="227" xfId="0" applyFont="1" applyFill="1" applyBorder="1" applyAlignment="1" applyProtection="1">
      <alignment horizontal="center" vertical="center"/>
    </xf>
    <xf numFmtId="0" fontId="6" fillId="2" borderId="225" xfId="0" applyFont="1" applyFill="1" applyBorder="1" applyAlignment="1" applyProtection="1">
      <alignment horizontal="center" vertical="center"/>
    </xf>
    <xf numFmtId="0" fontId="6" fillId="2" borderId="235" xfId="0" applyFont="1" applyFill="1" applyBorder="1" applyAlignment="1" applyProtection="1">
      <alignment horizontal="center" vertical="center"/>
    </xf>
    <xf numFmtId="0" fontId="6" fillId="2" borderId="230" xfId="0" applyFont="1" applyFill="1" applyBorder="1" applyAlignment="1" applyProtection="1">
      <alignment horizontal="center" vertical="center" wrapText="1"/>
    </xf>
    <xf numFmtId="0" fontId="6" fillId="2" borderId="232" xfId="0" applyFont="1" applyFill="1" applyBorder="1" applyAlignment="1" applyProtection="1">
      <alignment horizontal="center" vertical="center" wrapText="1"/>
    </xf>
    <xf numFmtId="1" fontId="6" fillId="2" borderId="232" xfId="0" applyNumberFormat="1" applyFont="1" applyFill="1" applyBorder="1" applyAlignment="1" applyProtection="1">
      <alignment horizontal="center" vertical="center"/>
    </xf>
    <xf numFmtId="1" fontId="6" fillId="2" borderId="113" xfId="0" applyNumberFormat="1" applyFont="1" applyFill="1" applyBorder="1" applyAlignment="1" applyProtection="1">
      <alignment horizontal="center" vertical="center"/>
    </xf>
    <xf numFmtId="0" fontId="6" fillId="2" borderId="177" xfId="0" applyFont="1" applyFill="1" applyBorder="1" applyAlignment="1" applyProtection="1">
      <alignment horizontal="center" vertical="center"/>
    </xf>
    <xf numFmtId="0" fontId="6" fillId="2" borderId="232" xfId="0" applyFont="1" applyFill="1" applyBorder="1" applyAlignment="1" applyProtection="1">
      <alignment horizontal="center" vertical="center"/>
    </xf>
    <xf numFmtId="0" fontId="6" fillId="2" borderId="177" xfId="0" applyFont="1" applyFill="1" applyBorder="1" applyAlignment="1" applyProtection="1">
      <alignment horizontal="center" vertical="center" wrapText="1"/>
    </xf>
    <xf numFmtId="0" fontId="9" fillId="5" borderId="211" xfId="3" applyFont="1" applyFill="1" applyBorder="1" applyAlignment="1" applyProtection="1">
      <alignment horizontal="center"/>
      <protection locked="0"/>
    </xf>
    <xf numFmtId="0" fontId="9" fillId="5" borderId="234" xfId="4" applyFont="1" applyFill="1" applyBorder="1" applyAlignment="1" applyProtection="1">
      <alignment horizontal="center"/>
      <protection locked="0"/>
    </xf>
    <xf numFmtId="0" fontId="9" fillId="28" borderId="211" xfId="4" applyFont="1" applyFill="1" applyBorder="1" applyAlignment="1" applyProtection="1">
      <alignment horizontal="center"/>
      <protection locked="0"/>
    </xf>
    <xf numFmtId="0" fontId="9" fillId="16" borderId="113" xfId="0" applyFont="1" applyFill="1" applyBorder="1" applyAlignment="1">
      <alignment horizontal="center"/>
    </xf>
    <xf numFmtId="0" fontId="9" fillId="7" borderId="231" xfId="3" applyFont="1" applyFill="1" applyBorder="1" applyAlignment="1">
      <alignment horizontal="center"/>
    </xf>
    <xf numFmtId="0" fontId="9" fillId="7" borderId="225" xfId="3" applyFont="1" applyFill="1" applyBorder="1" applyAlignment="1">
      <alignment horizontal="center"/>
    </xf>
    <xf numFmtId="0" fontId="9" fillId="7" borderId="233" xfId="3" applyFont="1" applyFill="1" applyBorder="1" applyAlignment="1">
      <alignment horizontal="center"/>
    </xf>
    <xf numFmtId="0" fontId="9" fillId="7" borderId="235" xfId="3" applyFont="1" applyFill="1" applyBorder="1" applyAlignment="1">
      <alignment horizontal="center"/>
    </xf>
    <xf numFmtId="0" fontId="9" fillId="5" borderId="113" xfId="3" applyFont="1" applyFill="1" applyBorder="1" applyAlignment="1">
      <alignment horizontal="right"/>
    </xf>
    <xf numFmtId="0" fontId="9" fillId="5" borderId="234" xfId="3" applyFont="1" applyFill="1" applyBorder="1" applyAlignment="1" applyProtection="1">
      <alignment horizontal="center"/>
      <protection locked="0"/>
    </xf>
    <xf numFmtId="0" fontId="6" fillId="2" borderId="231" xfId="0" applyFont="1" applyFill="1" applyBorder="1" applyAlignment="1">
      <alignment horizontal="center" vertical="center"/>
    </xf>
    <xf numFmtId="0" fontId="6" fillId="2" borderId="218" xfId="0" applyFont="1" applyFill="1" applyBorder="1" applyAlignment="1">
      <alignment horizontal="center" vertical="center"/>
    </xf>
    <xf numFmtId="0" fontId="6" fillId="2" borderId="218" xfId="0" applyFont="1" applyFill="1" applyBorder="1" applyAlignment="1">
      <alignment horizontal="center" vertical="center" wrapText="1"/>
    </xf>
    <xf numFmtId="0" fontId="6" fillId="2" borderId="225" xfId="0" applyFont="1" applyFill="1" applyBorder="1" applyAlignment="1">
      <alignment horizontal="center" vertical="center" wrapText="1"/>
    </xf>
    <xf numFmtId="0" fontId="9" fillId="7" borderId="234" xfId="3" applyFont="1" applyFill="1" applyBorder="1" applyAlignment="1">
      <alignment horizontal="center"/>
    </xf>
    <xf numFmtId="0" fontId="6" fillId="2" borderId="234" xfId="0" applyFont="1" applyFill="1" applyBorder="1" applyAlignment="1">
      <alignment horizontal="center" vertical="center" wrapText="1"/>
    </xf>
    <xf numFmtId="0" fontId="6" fillId="2" borderId="235" xfId="0" applyFont="1" applyFill="1" applyBorder="1" applyAlignment="1">
      <alignment horizontal="center" vertical="center" wrapText="1"/>
    </xf>
    <xf numFmtId="0" fontId="9" fillId="16" borderId="221" xfId="3" applyFont="1" applyFill="1" applyBorder="1" applyAlignment="1">
      <alignment horizontal="center" vertical="center"/>
    </xf>
    <xf numFmtId="0" fontId="9" fillId="16" borderId="93" xfId="3" applyFont="1" applyFill="1" applyBorder="1" applyAlignment="1">
      <alignment horizontal="center" vertical="center"/>
    </xf>
    <xf numFmtId="0" fontId="9" fillId="16" borderId="250" xfId="3" applyFont="1" applyFill="1" applyBorder="1" applyAlignment="1">
      <alignment horizontal="center" vertical="center"/>
    </xf>
    <xf numFmtId="0" fontId="9" fillId="16" borderId="218" xfId="3" applyFont="1" applyFill="1" applyBorder="1" applyAlignment="1">
      <alignment horizontal="center" vertical="center"/>
    </xf>
    <xf numFmtId="0" fontId="9" fillId="16" borderId="239" xfId="3" applyFont="1" applyFill="1" applyBorder="1" applyAlignment="1">
      <alignment horizontal="center" vertical="center"/>
    </xf>
    <xf numFmtId="0" fontId="9" fillId="16" borderId="251" xfId="3" applyFont="1" applyFill="1" applyBorder="1" applyAlignment="1">
      <alignment horizontal="center" vertical="center"/>
    </xf>
    <xf numFmtId="0" fontId="9" fillId="16" borderId="62" xfId="3" applyFont="1" applyFill="1" applyBorder="1" applyAlignment="1">
      <alignment horizontal="center" vertical="center"/>
    </xf>
    <xf numFmtId="0" fontId="9" fillId="16" borderId="94" xfId="3" applyFont="1" applyFill="1" applyBorder="1" applyAlignment="1">
      <alignment horizontal="center" vertical="center"/>
    </xf>
    <xf numFmtId="0" fontId="9" fillId="16" borderId="235" xfId="0" applyFont="1" applyFill="1" applyBorder="1" applyAlignment="1">
      <alignment horizontal="center"/>
    </xf>
    <xf numFmtId="0" fontId="9" fillId="16" borderId="161" xfId="0" applyFont="1" applyFill="1" applyBorder="1" applyAlignment="1">
      <alignment horizontal="center"/>
    </xf>
    <xf numFmtId="0" fontId="9" fillId="16" borderId="11" xfId="3" applyFont="1" applyFill="1" applyBorder="1" applyAlignment="1">
      <alignment horizontal="center" vertical="center"/>
    </xf>
    <xf numFmtId="0" fontId="9" fillId="16" borderId="63" xfId="3" applyFont="1" applyFill="1" applyBorder="1" applyAlignment="1">
      <alignment horizontal="center" vertical="center"/>
    </xf>
    <xf numFmtId="0" fontId="38" fillId="16" borderId="253" xfId="3" applyFont="1" applyFill="1" applyBorder="1" applyAlignment="1">
      <alignment horizontal="center" vertical="center"/>
    </xf>
    <xf numFmtId="0" fontId="38" fillId="16" borderId="254" xfId="3" applyFont="1" applyFill="1" applyBorder="1" applyAlignment="1">
      <alignment horizontal="center" vertical="center"/>
    </xf>
    <xf numFmtId="0" fontId="38" fillId="16" borderId="62" xfId="3" applyFont="1" applyFill="1" applyBorder="1" applyAlignment="1">
      <alignment horizontal="center" vertical="center"/>
    </xf>
    <xf numFmtId="0" fontId="38" fillId="16" borderId="94" xfId="3" applyFont="1" applyFill="1" applyBorder="1" applyAlignment="1">
      <alignment horizontal="center" vertical="center"/>
    </xf>
    <xf numFmtId="0" fontId="25" fillId="7" borderId="231" xfId="3" applyFont="1" applyFill="1" applyBorder="1" applyAlignment="1">
      <alignment horizontal="center" vertical="center"/>
    </xf>
    <xf numFmtId="0" fontId="27" fillId="7" borderId="251" xfId="3" applyFont="1" applyFill="1" applyBorder="1" applyAlignment="1">
      <alignment horizontal="center" vertical="center"/>
    </xf>
    <xf numFmtId="0" fontId="27" fillId="7" borderId="105" xfId="3" applyFont="1" applyFill="1" applyBorder="1" applyAlignment="1">
      <alignment horizontal="center" vertical="center"/>
    </xf>
    <xf numFmtId="0" fontId="27" fillId="7" borderId="20" xfId="3" applyFont="1" applyFill="1" applyBorder="1" applyAlignment="1">
      <alignment horizontal="center" vertical="center"/>
    </xf>
    <xf numFmtId="2" fontId="9" fillId="19" borderId="205" xfId="3" applyNumberFormat="1" applyFont="1" applyFill="1" applyBorder="1" applyAlignment="1">
      <alignment horizontal="center" vertical="center"/>
    </xf>
    <xf numFmtId="2" fontId="9" fillId="19" borderId="242" xfId="3" applyNumberFormat="1" applyFont="1" applyFill="1" applyBorder="1" applyAlignment="1">
      <alignment horizontal="center" vertical="center"/>
    </xf>
    <xf numFmtId="0" fontId="9" fillId="5" borderId="8" xfId="3" applyFont="1" applyFill="1" applyBorder="1" applyAlignment="1" applyProtection="1">
      <alignment horizontal="center"/>
      <protection locked="0"/>
    </xf>
    <xf numFmtId="0" fontId="9" fillId="5" borderId="201" xfId="4" applyFont="1" applyFill="1" applyBorder="1" applyAlignment="1" applyProtection="1">
      <alignment horizontal="center"/>
      <protection locked="0"/>
    </xf>
    <xf numFmtId="0" fontId="9" fillId="5" borderId="164" xfId="4" applyFont="1" applyFill="1" applyBorder="1" applyAlignment="1" applyProtection="1">
      <alignment horizontal="center"/>
      <protection locked="0"/>
    </xf>
    <xf numFmtId="0" fontId="9" fillId="16" borderId="68" xfId="3" applyFont="1" applyFill="1" applyBorder="1" applyAlignment="1" applyProtection="1">
      <alignment horizontal="center" vertical="center" wrapText="1"/>
    </xf>
    <xf numFmtId="0" fontId="9" fillId="16" borderId="102" xfId="3" applyFont="1" applyFill="1" applyBorder="1" applyAlignment="1" applyProtection="1">
      <alignment horizontal="center" vertical="center"/>
    </xf>
    <xf numFmtId="165" fontId="9" fillId="19" borderId="68" xfId="3" applyNumberFormat="1" applyFont="1" applyFill="1" applyBorder="1" applyAlignment="1" applyProtection="1">
      <alignment horizontal="center" vertical="center"/>
    </xf>
    <xf numFmtId="165" fontId="9" fillId="19" borderId="44" xfId="3" applyNumberFormat="1" applyFont="1" applyFill="1" applyBorder="1" applyAlignment="1" applyProtection="1">
      <alignment horizontal="center" vertical="center"/>
    </xf>
    <xf numFmtId="165" fontId="9" fillId="19" borderId="103" xfId="3" applyNumberFormat="1" applyFont="1" applyFill="1" applyBorder="1" applyAlignment="1" applyProtection="1">
      <alignment horizontal="center" vertical="center"/>
    </xf>
    <xf numFmtId="0" fontId="9" fillId="5" borderId="8" xfId="4" applyFont="1" applyFill="1" applyBorder="1" applyAlignment="1" applyProtection="1">
      <alignment horizontal="center"/>
      <protection locked="0"/>
    </xf>
    <xf numFmtId="0" fontId="9" fillId="7" borderId="16" xfId="3" applyFont="1" applyFill="1" applyBorder="1" applyAlignment="1" applyProtection="1">
      <alignment horizontal="center" vertical="center"/>
    </xf>
    <xf numFmtId="0" fontId="9" fillId="7" borderId="96" xfId="3" applyFont="1" applyFill="1" applyBorder="1" applyAlignment="1" applyProtection="1">
      <alignment horizontal="center" vertical="center"/>
    </xf>
    <xf numFmtId="0" fontId="18" fillId="5" borderId="8" xfId="0" applyFont="1" applyFill="1" applyBorder="1" applyAlignment="1" applyProtection="1">
      <alignment horizontal="center"/>
      <protection locked="0"/>
    </xf>
    <xf numFmtId="0" fontId="9" fillId="21" borderId="164" xfId="4" applyFont="1" applyFill="1" applyBorder="1" applyAlignment="1" applyProtection="1">
      <alignment horizontal="center"/>
      <protection locked="0"/>
    </xf>
    <xf numFmtId="0" fontId="9" fillId="7" borderId="176" xfId="3" applyFont="1" applyFill="1" applyBorder="1" applyAlignment="1" applyProtection="1">
      <alignment horizontal="center" vertical="center"/>
    </xf>
    <xf numFmtId="0" fontId="9" fillId="7" borderId="161" xfId="3" applyFont="1" applyFill="1" applyBorder="1" applyAlignment="1" applyProtection="1">
      <alignment horizontal="center" vertical="center"/>
    </xf>
    <xf numFmtId="0" fontId="63" fillId="6" borderId="209" xfId="3" applyFont="1" applyFill="1" applyBorder="1" applyAlignment="1" applyProtection="1">
      <alignment horizontal="center"/>
    </xf>
    <xf numFmtId="0" fontId="63" fillId="6" borderId="208" xfId="3" applyFont="1" applyFill="1" applyBorder="1" applyAlignment="1" applyProtection="1">
      <alignment horizontal="center"/>
    </xf>
    <xf numFmtId="0" fontId="9" fillId="5" borderId="6" xfId="4" applyFont="1" applyFill="1" applyBorder="1" applyAlignment="1" applyProtection="1">
      <alignment horizontal="center"/>
      <protection locked="0"/>
    </xf>
    <xf numFmtId="0" fontId="9" fillId="16" borderId="161" xfId="0" applyFont="1" applyFill="1" applyBorder="1" applyAlignment="1" applyProtection="1">
      <alignment horizontal="center"/>
    </xf>
    <xf numFmtId="170" fontId="9" fillId="16" borderId="152" xfId="1" applyNumberFormat="1" applyFont="1" applyFill="1" applyBorder="1" applyAlignment="1" applyProtection="1">
      <alignment horizontal="center" vertical="center"/>
    </xf>
    <xf numFmtId="170" fontId="9" fillId="16" borderId="154" xfId="1" applyNumberFormat="1" applyFont="1" applyFill="1" applyBorder="1" applyAlignment="1" applyProtection="1">
      <alignment horizontal="center" vertical="center"/>
    </xf>
    <xf numFmtId="170" fontId="9" fillId="16" borderId="153" xfId="1" applyNumberFormat="1" applyFont="1" applyFill="1" applyBorder="1" applyAlignment="1" applyProtection="1">
      <alignment horizontal="center" vertical="center"/>
    </xf>
    <xf numFmtId="170" fontId="9" fillId="16" borderId="162" xfId="1" applyNumberFormat="1" applyFont="1" applyFill="1" applyBorder="1" applyAlignment="1" applyProtection="1">
      <alignment horizontal="center" vertical="center"/>
    </xf>
    <xf numFmtId="170" fontId="9" fillId="16" borderId="164" xfId="1" applyNumberFormat="1" applyFont="1" applyFill="1" applyBorder="1" applyAlignment="1" applyProtection="1">
      <alignment horizontal="center" vertical="center"/>
    </xf>
    <xf numFmtId="170" fontId="9" fillId="16" borderId="163" xfId="1" applyNumberFormat="1" applyFont="1" applyFill="1" applyBorder="1" applyAlignment="1" applyProtection="1">
      <alignment horizontal="center" vertical="center"/>
    </xf>
    <xf numFmtId="0" fontId="9" fillId="7" borderId="130" xfId="4" applyFont="1" applyFill="1" applyBorder="1" applyAlignment="1" applyProtection="1">
      <alignment horizontal="center"/>
    </xf>
    <xf numFmtId="0" fontId="9" fillId="7" borderId="117" xfId="4" applyFont="1" applyFill="1" applyBorder="1" applyAlignment="1" applyProtection="1">
      <alignment horizontal="center"/>
    </xf>
    <xf numFmtId="0" fontId="17" fillId="7" borderId="130" xfId="4" applyFont="1" applyFill="1" applyBorder="1" applyAlignment="1" applyProtection="1">
      <alignment horizontal="center"/>
    </xf>
    <xf numFmtId="0" fontId="17" fillId="7" borderId="186" xfId="4" applyFont="1" applyFill="1" applyBorder="1" applyAlignment="1" applyProtection="1">
      <alignment horizontal="center"/>
    </xf>
    <xf numFmtId="0" fontId="9" fillId="16" borderId="130" xfId="4" applyFont="1" applyFill="1" applyBorder="1" applyAlignment="1" applyProtection="1">
      <alignment horizontal="center"/>
    </xf>
    <xf numFmtId="0" fontId="9" fillId="16" borderId="186" xfId="4" applyFont="1" applyFill="1" applyBorder="1" applyAlignment="1" applyProtection="1">
      <alignment horizontal="center"/>
    </xf>
    <xf numFmtId="169" fontId="9" fillId="19" borderId="227" xfId="2" applyNumberFormat="1" applyFont="1" applyFill="1" applyBorder="1" applyAlignment="1" applyProtection="1">
      <alignment horizontal="center" vertical="center"/>
    </xf>
    <xf numFmtId="169" fontId="9" fillId="19" borderId="211" xfId="2" applyNumberFormat="1" applyFont="1" applyFill="1" applyBorder="1" applyAlignment="1" applyProtection="1">
      <alignment horizontal="center" vertical="center"/>
    </xf>
    <xf numFmtId="169" fontId="9" fillId="19" borderId="226" xfId="2" applyNumberFormat="1" applyFont="1" applyFill="1" applyBorder="1" applyAlignment="1" applyProtection="1">
      <alignment horizontal="center" vertical="center"/>
    </xf>
    <xf numFmtId="0" fontId="9" fillId="16" borderId="113" xfId="3" applyFont="1" applyFill="1" applyBorder="1" applyAlignment="1" applyProtection="1">
      <alignment horizontal="center" vertical="center"/>
    </xf>
    <xf numFmtId="0" fontId="9" fillId="7" borderId="17" xfId="0" applyFont="1" applyFill="1" applyBorder="1" applyAlignment="1" applyProtection="1">
      <alignment horizontal="center"/>
    </xf>
    <xf numFmtId="0" fontId="9" fillId="7" borderId="96" xfId="0" applyFont="1" applyFill="1" applyBorder="1" applyAlignment="1" applyProtection="1">
      <alignment horizontal="center"/>
    </xf>
    <xf numFmtId="0" fontId="9" fillId="7" borderId="220" xfId="0" applyFont="1" applyFill="1" applyBorder="1" applyAlignment="1" applyProtection="1">
      <alignment horizontal="center" vertical="center" wrapText="1"/>
    </xf>
    <xf numFmtId="0" fontId="9" fillId="7" borderId="218" xfId="0" applyFont="1" applyFill="1" applyBorder="1" applyAlignment="1" applyProtection="1">
      <alignment horizontal="center" vertical="center" wrapText="1"/>
    </xf>
    <xf numFmtId="0" fontId="9" fillId="7" borderId="225" xfId="0" applyFont="1" applyFill="1" applyBorder="1" applyAlignment="1" applyProtection="1">
      <alignment horizontal="center" vertical="center" wrapText="1"/>
    </xf>
    <xf numFmtId="0" fontId="9" fillId="7" borderId="173"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182" xfId="0" applyFont="1" applyFill="1" applyBorder="1" applyAlignment="1" applyProtection="1">
      <alignment horizontal="center" vertical="center" wrapText="1"/>
    </xf>
    <xf numFmtId="0" fontId="9" fillId="7" borderId="105"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169" fontId="9" fillId="32" borderId="227" xfId="2" applyNumberFormat="1" applyFont="1" applyFill="1" applyBorder="1" applyAlignment="1" applyProtection="1">
      <alignment horizontal="center" vertical="center"/>
    </xf>
    <xf numFmtId="169" fontId="9" fillId="32" borderId="211" xfId="2" applyNumberFormat="1" applyFont="1" applyFill="1" applyBorder="1" applyAlignment="1" applyProtection="1">
      <alignment horizontal="center" vertical="center"/>
    </xf>
    <xf numFmtId="169" fontId="9" fillId="32" borderId="226" xfId="2" applyNumberFormat="1" applyFont="1" applyFill="1" applyBorder="1" applyAlignment="1" applyProtection="1">
      <alignment horizontal="center" vertical="center"/>
    </xf>
    <xf numFmtId="171" fontId="0" fillId="37" borderId="238" xfId="0" applyNumberFormat="1" applyFill="1" applyBorder="1" applyAlignment="1" applyProtection="1">
      <alignment horizontal="center" vertical="center"/>
    </xf>
    <xf numFmtId="171" fontId="0" fillId="37" borderId="236" xfId="0" applyNumberFormat="1" applyFill="1" applyBorder="1" applyAlignment="1" applyProtection="1">
      <alignment horizontal="center" vertical="center"/>
    </xf>
    <xf numFmtId="0" fontId="9" fillId="16" borderId="162" xfId="3" applyFont="1" applyFill="1" applyBorder="1" applyAlignment="1" applyProtection="1">
      <alignment horizontal="center" vertical="center"/>
    </xf>
    <xf numFmtId="0" fontId="9" fillId="16" borderId="163" xfId="3" applyFont="1" applyFill="1" applyBorder="1" applyAlignment="1" applyProtection="1">
      <alignment horizontal="center" vertical="center"/>
    </xf>
    <xf numFmtId="0" fontId="9" fillId="16" borderId="220" xfId="3" applyFont="1" applyFill="1" applyBorder="1" applyAlignment="1" applyProtection="1">
      <alignment horizontal="center" vertical="center"/>
    </xf>
    <xf numFmtId="0" fontId="9" fillId="16" borderId="225" xfId="3" applyFont="1" applyFill="1" applyBorder="1" applyAlignment="1" applyProtection="1">
      <alignment horizontal="center" vertical="center"/>
    </xf>
    <xf numFmtId="0" fontId="9" fillId="16" borderId="227" xfId="0" applyFont="1" applyFill="1" applyBorder="1" applyAlignment="1" applyProtection="1">
      <alignment horizontal="center"/>
    </xf>
    <xf numFmtId="0" fontId="9" fillId="16" borderId="226" xfId="0" applyFont="1" applyFill="1" applyBorder="1" applyAlignment="1" applyProtection="1">
      <alignment horizontal="center"/>
    </xf>
    <xf numFmtId="0" fontId="13" fillId="2" borderId="209" xfId="0" applyFont="1" applyFill="1" applyBorder="1" applyAlignment="1" applyProtection="1">
      <alignment horizontal="center"/>
    </xf>
    <xf numFmtId="0" fontId="13" fillId="2" borderId="208" xfId="0" applyFont="1" applyFill="1" applyBorder="1" applyAlignment="1" applyProtection="1">
      <alignment horizontal="center"/>
    </xf>
    <xf numFmtId="0" fontId="9" fillId="7" borderId="220" xfId="0" applyFont="1" applyFill="1" applyBorder="1" applyAlignment="1" applyProtection="1">
      <alignment horizontal="center"/>
    </xf>
    <xf numFmtId="0" fontId="9" fillId="7" borderId="218" xfId="0" applyFont="1" applyFill="1" applyBorder="1" applyAlignment="1" applyProtection="1">
      <alignment horizontal="center"/>
    </xf>
    <xf numFmtId="0" fontId="0" fillId="0" borderId="220" xfId="0" applyBorder="1" applyAlignment="1" applyProtection="1">
      <alignment horizontal="center" vertical="center"/>
      <protection locked="0"/>
    </xf>
    <xf numFmtId="0" fontId="0" fillId="0" borderId="218"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2" xfId="0" applyBorder="1" applyAlignment="1" applyProtection="1">
      <alignment horizontal="center" vertical="center"/>
      <protection locked="0"/>
    </xf>
    <xf numFmtId="0" fontId="0" fillId="0" borderId="164" xfId="0" applyBorder="1" applyAlignment="1" applyProtection="1">
      <alignment horizontal="center" vertical="center"/>
      <protection locked="0"/>
    </xf>
    <xf numFmtId="0" fontId="9" fillId="16" borderId="209" xfId="0" applyFont="1" applyFill="1" applyBorder="1" applyAlignment="1" applyProtection="1">
      <alignment horizontal="center"/>
    </xf>
    <xf numFmtId="0" fontId="9" fillId="5" borderId="224" xfId="0" applyFont="1" applyFill="1" applyBorder="1" applyAlignment="1" applyProtection="1">
      <alignment horizontal="center" vertical="center"/>
      <protection locked="0"/>
    </xf>
    <xf numFmtId="0" fontId="0" fillId="2" borderId="113" xfId="0" applyFill="1" applyBorder="1" applyAlignment="1" applyProtection="1">
      <alignment horizontal="center"/>
    </xf>
    <xf numFmtId="0" fontId="9" fillId="16" borderId="208" xfId="0" applyFont="1" applyFill="1" applyBorder="1" applyAlignment="1" applyProtection="1">
      <alignment horizontal="center"/>
    </xf>
    <xf numFmtId="167" fontId="0" fillId="9" borderId="238" xfId="0" applyNumberFormat="1" applyFill="1" applyBorder="1" applyAlignment="1" applyProtection="1">
      <alignment horizontal="center"/>
    </xf>
    <xf numFmtId="167" fontId="0" fillId="9" borderId="236" xfId="0" applyNumberFormat="1" applyFill="1" applyBorder="1" applyAlignment="1" applyProtection="1">
      <alignment horizontal="center"/>
    </xf>
    <xf numFmtId="0" fontId="9" fillId="16" borderId="113" xfId="0" applyFont="1" applyFill="1" applyBorder="1" applyAlignment="1" applyProtection="1">
      <alignment horizontal="center" vertical="center" wrapText="1"/>
    </xf>
    <xf numFmtId="0" fontId="9" fillId="16" borderId="113" xfId="0" applyFont="1" applyFill="1" applyBorder="1" applyAlignment="1" applyProtection="1">
      <alignment horizontal="center" vertical="center"/>
    </xf>
    <xf numFmtId="0" fontId="9" fillId="5" borderId="11" xfId="0" applyFont="1" applyFill="1" applyBorder="1" applyAlignment="1" applyProtection="1">
      <alignment horizontal="center"/>
      <protection locked="0"/>
    </xf>
    <xf numFmtId="0" fontId="9" fillId="7" borderId="200" xfId="0" applyFont="1" applyFill="1" applyBorder="1" applyAlignment="1" applyProtection="1">
      <alignment horizontal="center" vertical="center"/>
    </xf>
    <xf numFmtId="0" fontId="9" fillId="7" borderId="199" xfId="0" applyFont="1" applyFill="1" applyBorder="1" applyAlignment="1" applyProtection="1">
      <alignment horizontal="center" vertical="center"/>
    </xf>
    <xf numFmtId="0" fontId="9" fillId="16" borderId="107" xfId="0" applyFont="1" applyFill="1" applyBorder="1" applyAlignment="1" applyProtection="1">
      <alignment horizontal="center" vertical="center" wrapText="1"/>
    </xf>
    <xf numFmtId="0" fontId="9" fillId="16" borderId="200" xfId="0" applyFont="1" applyFill="1" applyBorder="1" applyAlignment="1" applyProtection="1">
      <alignment horizontal="center" vertical="center" wrapText="1"/>
    </xf>
    <xf numFmtId="0" fontId="9" fillId="16" borderId="107" xfId="0" applyFont="1" applyFill="1" applyBorder="1" applyAlignment="1" applyProtection="1">
      <alignment horizontal="center" vertical="center"/>
    </xf>
    <xf numFmtId="0" fontId="9" fillId="16" borderId="22" xfId="0" applyFont="1" applyFill="1" applyBorder="1" applyAlignment="1" applyProtection="1">
      <alignment horizontal="center" vertical="center" wrapText="1"/>
    </xf>
    <xf numFmtId="0" fontId="9" fillId="16" borderId="68" xfId="0" applyFont="1" applyFill="1" applyBorder="1" applyAlignment="1" applyProtection="1">
      <alignment horizontal="center" vertical="center"/>
    </xf>
    <xf numFmtId="0" fontId="9" fillId="16" borderId="22" xfId="0" applyFont="1" applyFill="1" applyBorder="1" applyAlignment="1" applyProtection="1">
      <alignment horizontal="center" vertical="center"/>
    </xf>
    <xf numFmtId="0" fontId="0" fillId="2" borderId="217" xfId="0" applyFill="1" applyBorder="1" applyAlignment="1" applyProtection="1">
      <alignment horizontal="center" vertical="center"/>
    </xf>
    <xf numFmtId="0" fontId="0" fillId="2" borderId="161" xfId="0" applyFill="1" applyBorder="1" applyAlignment="1" applyProtection="1">
      <alignment horizontal="center" vertical="center"/>
    </xf>
    <xf numFmtId="0" fontId="6" fillId="0" borderId="113" xfId="0" applyFont="1" applyBorder="1" applyAlignment="1" applyProtection="1">
      <alignment horizontal="center"/>
    </xf>
    <xf numFmtId="0" fontId="0" fillId="0" borderId="123" xfId="0" applyBorder="1" applyAlignment="1" applyProtection="1">
      <alignment horizontal="center" vertical="center"/>
    </xf>
    <xf numFmtId="0" fontId="0" fillId="0" borderId="45" xfId="0" applyBorder="1" applyAlignment="1" applyProtection="1">
      <alignment horizontal="center" vertical="center"/>
    </xf>
    <xf numFmtId="0" fontId="0" fillId="0" borderId="68" xfId="0" applyBorder="1" applyAlignment="1" applyProtection="1">
      <alignment horizontal="center" vertical="center"/>
    </xf>
    <xf numFmtId="0" fontId="0" fillId="0" borderId="46" xfId="0" applyBorder="1" applyAlignment="1" applyProtection="1">
      <alignment horizontal="center" vertical="center"/>
    </xf>
    <xf numFmtId="0" fontId="0" fillId="0" borderId="52" xfId="0" applyBorder="1" applyAlignment="1" applyProtection="1">
      <alignment horizontal="center" vertical="center"/>
    </xf>
    <xf numFmtId="0" fontId="0" fillId="0" borderId="73" xfId="0" applyBorder="1" applyAlignment="1" applyProtection="1">
      <alignment horizontal="center" vertical="center"/>
    </xf>
    <xf numFmtId="0" fontId="2" fillId="12" borderId="120" xfId="0" applyFont="1" applyFill="1" applyBorder="1" applyAlignment="1" applyProtection="1">
      <alignment horizontal="center" vertical="center" wrapText="1"/>
    </xf>
    <xf numFmtId="0" fontId="2" fillId="12" borderId="121" xfId="0" applyFont="1" applyFill="1" applyBorder="1" applyAlignment="1" applyProtection="1">
      <alignment horizontal="center" vertical="center" wrapText="1"/>
    </xf>
    <xf numFmtId="0" fontId="2" fillId="12" borderId="122" xfId="0" applyFont="1" applyFill="1" applyBorder="1" applyAlignment="1" applyProtection="1">
      <alignment horizontal="center" vertical="center" wrapText="1"/>
    </xf>
    <xf numFmtId="0" fontId="0" fillId="9" borderId="164" xfId="0" applyFill="1" applyBorder="1" applyAlignment="1" applyProtection="1">
      <alignment horizontal="center"/>
    </xf>
    <xf numFmtId="0" fontId="0" fillId="9" borderId="130" xfId="0" applyFill="1" applyBorder="1" applyAlignment="1" applyProtection="1">
      <alignment horizontal="center"/>
    </xf>
    <xf numFmtId="0" fontId="0" fillId="9" borderId="117" xfId="0" applyFill="1" applyBorder="1" applyAlignment="1" applyProtection="1">
      <alignment horizontal="center"/>
    </xf>
    <xf numFmtId="0" fontId="0" fillId="9" borderId="186" xfId="0" applyFill="1" applyBorder="1" applyAlignment="1" applyProtection="1">
      <alignment horizontal="center"/>
    </xf>
    <xf numFmtId="0" fontId="6" fillId="0" borderId="8" xfId="0" applyFont="1" applyBorder="1" applyAlignment="1" applyProtection="1">
      <alignment horizontal="left"/>
      <protection locked="0"/>
    </xf>
    <xf numFmtId="0" fontId="6" fillId="0" borderId="117" xfId="0" applyFont="1" applyBorder="1" applyAlignment="1" applyProtection="1">
      <alignment horizontal="left"/>
      <protection locked="0"/>
    </xf>
    <xf numFmtId="0" fontId="9" fillId="16" borderId="111" xfId="0" applyFont="1" applyFill="1" applyBorder="1" applyAlignment="1" applyProtection="1">
      <alignment horizontal="center"/>
    </xf>
    <xf numFmtId="0" fontId="9" fillId="16" borderId="112" xfId="0" applyFont="1" applyFill="1" applyBorder="1" applyAlignment="1" applyProtection="1">
      <alignment horizontal="center"/>
    </xf>
    <xf numFmtId="0" fontId="13" fillId="16" borderId="111" xfId="0" applyFont="1" applyFill="1" applyBorder="1" applyAlignment="1" applyProtection="1">
      <alignment horizontal="center"/>
    </xf>
    <xf numFmtId="0" fontId="13" fillId="16" borderId="112" xfId="0" applyFont="1" applyFill="1" applyBorder="1" applyAlignment="1" applyProtection="1">
      <alignment horizontal="center"/>
    </xf>
    <xf numFmtId="0" fontId="18" fillId="5" borderId="0" xfId="3" applyFont="1" applyFill="1" applyBorder="1" applyAlignment="1" applyProtection="1">
      <alignment horizontal="left"/>
      <protection locked="0"/>
    </xf>
    <xf numFmtId="0" fontId="6" fillId="0" borderId="164" xfId="0" applyFont="1" applyBorder="1" applyAlignment="1" applyProtection="1">
      <alignment horizontal="left"/>
      <protection locked="0"/>
    </xf>
    <xf numFmtId="0" fontId="9" fillId="5" borderId="164" xfId="0" applyFont="1" applyFill="1" applyBorder="1" applyAlignment="1" applyProtection="1">
      <alignment horizontal="left"/>
      <protection locked="0"/>
    </xf>
    <xf numFmtId="0" fontId="9" fillId="16" borderId="128" xfId="0" applyFont="1" applyFill="1" applyBorder="1" applyAlignment="1" applyProtection="1">
      <alignment horizontal="center"/>
    </xf>
    <xf numFmtId="0" fontId="9" fillId="16" borderId="186" xfId="0" applyFont="1" applyFill="1" applyBorder="1" applyAlignment="1" applyProtection="1">
      <alignment horizontal="center"/>
    </xf>
    <xf numFmtId="0" fontId="9" fillId="16" borderId="130" xfId="0" applyFont="1" applyFill="1" applyBorder="1" applyAlignment="1" applyProtection="1">
      <alignment horizontal="center"/>
    </xf>
    <xf numFmtId="0" fontId="9" fillId="0" borderId="130" xfId="0" applyFont="1" applyBorder="1" applyAlignment="1" applyProtection="1">
      <alignment horizontal="left" vertical="center" wrapText="1"/>
    </xf>
    <xf numFmtId="0" fontId="9" fillId="0" borderId="117" xfId="0" applyFont="1" applyBorder="1" applyAlignment="1" applyProtection="1">
      <alignment horizontal="left" vertical="center" wrapText="1"/>
    </xf>
    <xf numFmtId="0" fontId="9" fillId="0" borderId="186" xfId="0" applyFont="1" applyBorder="1" applyAlignment="1" applyProtection="1">
      <alignment horizontal="left" vertical="center" wrapText="1"/>
    </xf>
    <xf numFmtId="0" fontId="9" fillId="16" borderId="129" xfId="0" applyFont="1" applyFill="1" applyBorder="1" applyAlignment="1" applyProtection="1">
      <alignment horizontal="center"/>
    </xf>
    <xf numFmtId="0" fontId="9" fillId="0" borderId="130" xfId="0" applyFont="1" applyBorder="1" applyAlignment="1" applyProtection="1">
      <alignment horizontal="left"/>
    </xf>
    <xf numFmtId="0" fontId="9" fillId="0" borderId="112" xfId="0" applyFont="1" applyBorder="1" applyAlignment="1" applyProtection="1">
      <alignment horizontal="left"/>
    </xf>
    <xf numFmtId="0" fontId="9" fillId="8" borderId="130" xfId="0" applyFont="1" applyFill="1" applyBorder="1" applyAlignment="1" applyProtection="1">
      <alignment horizontal="left"/>
    </xf>
    <xf numFmtId="0" fontId="9" fillId="8" borderId="112" xfId="0" applyFont="1" applyFill="1" applyBorder="1" applyAlignment="1" applyProtection="1">
      <alignment horizontal="left"/>
    </xf>
    <xf numFmtId="0" fontId="9" fillId="5" borderId="26"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117" xfId="0" applyFont="1" applyFill="1" applyBorder="1" applyAlignment="1" applyProtection="1">
      <alignment horizontal="left"/>
      <protection locked="0"/>
    </xf>
    <xf numFmtId="0" fontId="9" fillId="7" borderId="231" xfId="0" applyFont="1" applyFill="1" applyBorder="1" applyAlignment="1" applyProtection="1">
      <alignment horizontal="left" vertical="center"/>
    </xf>
    <xf numFmtId="0" fontId="9" fillId="7" borderId="239" xfId="0" applyFont="1" applyFill="1" applyBorder="1" applyAlignment="1" applyProtection="1">
      <alignment horizontal="left" vertical="center"/>
    </xf>
    <xf numFmtId="0" fontId="9" fillId="7" borderId="233" xfId="0" applyFont="1" applyFill="1" applyBorder="1" applyAlignment="1" applyProtection="1">
      <alignment horizontal="left" vertical="center"/>
    </xf>
    <xf numFmtId="0" fontId="9" fillId="7" borderId="240" xfId="0" applyFont="1" applyFill="1" applyBorder="1" applyAlignment="1" applyProtection="1">
      <alignment horizontal="left" vertical="center"/>
    </xf>
    <xf numFmtId="0" fontId="9" fillId="7" borderId="238" xfId="0" applyFont="1" applyFill="1" applyBorder="1" applyAlignment="1" applyProtection="1">
      <alignment horizontal="center"/>
    </xf>
    <xf numFmtId="0" fontId="9" fillId="7" borderId="236" xfId="0" applyFont="1" applyFill="1" applyBorder="1" applyAlignment="1" applyProtection="1">
      <alignment horizontal="center"/>
    </xf>
    <xf numFmtId="0" fontId="9" fillId="5" borderId="38" xfId="0" applyFont="1" applyFill="1" applyBorder="1" applyAlignment="1" applyProtection="1">
      <alignment horizontal="left" vertical="center" wrapText="1"/>
    </xf>
    <xf numFmtId="0" fontId="9" fillId="16" borderId="126" xfId="0" applyFont="1" applyFill="1" applyBorder="1" applyAlignment="1" applyProtection="1">
      <alignment horizontal="center" vertical="center" wrapText="1"/>
    </xf>
    <xf numFmtId="0" fontId="9" fillId="16" borderId="59" xfId="0" applyFont="1" applyFill="1" applyBorder="1" applyAlignment="1" applyProtection="1">
      <alignment horizontal="center" vertical="center" wrapText="1"/>
    </xf>
    <xf numFmtId="0" fontId="9" fillId="16" borderId="72" xfId="0" applyFont="1" applyFill="1" applyBorder="1" applyAlignment="1" applyProtection="1">
      <alignment horizontal="center" vertical="center" wrapText="1"/>
    </xf>
    <xf numFmtId="0" fontId="9" fillId="16" borderId="63" xfId="0" applyFont="1" applyFill="1" applyBorder="1" applyAlignment="1" applyProtection="1">
      <alignment horizontal="center" vertical="center" wrapText="1"/>
    </xf>
    <xf numFmtId="0" fontId="9" fillId="5" borderId="234" xfId="0" applyFont="1" applyFill="1" applyBorder="1" applyAlignment="1" applyProtection="1">
      <alignment horizontal="left"/>
      <protection locked="0"/>
    </xf>
    <xf numFmtId="0" fontId="9" fillId="2" borderId="160" xfId="6" applyFont="1" applyFill="1" applyBorder="1" applyAlignment="1" applyProtection="1">
      <alignment horizontal="center"/>
    </xf>
    <xf numFmtId="0" fontId="9" fillId="2" borderId="69" xfId="6" applyFont="1" applyFill="1" applyBorder="1" applyAlignment="1" applyProtection="1">
      <alignment horizontal="center"/>
    </xf>
    <xf numFmtId="0" fontId="9" fillId="0" borderId="160" xfId="6" applyFont="1" applyBorder="1" applyAlignment="1" applyProtection="1">
      <alignment horizontal="left"/>
    </xf>
    <xf numFmtId="0" fontId="9" fillId="0" borderId="30" xfId="6" applyFont="1" applyBorder="1" applyAlignment="1" applyProtection="1">
      <alignment horizontal="left"/>
    </xf>
    <xf numFmtId="0" fontId="9" fillId="0" borderId="69" xfId="6" applyFont="1" applyBorder="1" applyAlignment="1" applyProtection="1">
      <alignment horizontal="left"/>
    </xf>
    <xf numFmtId="0" fontId="9" fillId="0" borderId="183" xfId="5" applyFont="1" applyBorder="1" applyAlignment="1" applyProtection="1">
      <alignment horizontal="center" vertical="center"/>
    </xf>
    <xf numFmtId="0" fontId="9" fillId="0" borderId="184" xfId="5" applyFont="1" applyBorder="1" applyAlignment="1" applyProtection="1">
      <alignment horizontal="center" vertical="center"/>
    </xf>
    <xf numFmtId="0" fontId="9" fillId="0" borderId="185" xfId="5" applyFont="1" applyBorder="1" applyAlignment="1" applyProtection="1">
      <alignment horizontal="center" vertical="center"/>
    </xf>
    <xf numFmtId="0" fontId="9" fillId="0" borderId="162" xfId="5" applyFont="1" applyBorder="1" applyAlignment="1" applyProtection="1">
      <alignment horizontal="center" vertical="center"/>
    </xf>
    <xf numFmtId="0" fontId="9" fillId="0" borderId="164" xfId="5" applyFont="1" applyBorder="1" applyAlignment="1" applyProtection="1">
      <alignment horizontal="center" vertical="center"/>
    </xf>
    <xf numFmtId="0" fontId="9" fillId="0" borderId="163" xfId="5" applyFont="1" applyBorder="1" applyAlignment="1" applyProtection="1">
      <alignment horizontal="center" vertical="center"/>
    </xf>
    <xf numFmtId="0" fontId="9" fillId="0" borderId="160" xfId="6" applyFont="1" applyBorder="1" applyAlignment="1" applyProtection="1">
      <alignment horizontal="center"/>
    </xf>
    <xf numFmtId="0" fontId="9" fillId="0" borderId="30" xfId="6" applyFont="1" applyBorder="1" applyAlignment="1" applyProtection="1">
      <alignment horizontal="center"/>
    </xf>
    <xf numFmtId="0" fontId="9" fillId="0" borderId="69" xfId="6" applyFont="1" applyBorder="1" applyAlignment="1" applyProtection="1">
      <alignment horizontal="center"/>
    </xf>
    <xf numFmtId="0" fontId="27" fillId="5" borderId="234" xfId="0" applyFont="1" applyFill="1" applyBorder="1" applyAlignment="1" applyProtection="1">
      <alignment horizontal="left"/>
      <protection locked="0"/>
    </xf>
    <xf numFmtId="0" fontId="13" fillId="0" borderId="209" xfId="6" applyFont="1" applyBorder="1" applyAlignment="1" applyProtection="1">
      <alignment horizontal="left" vertical="center"/>
    </xf>
    <xf numFmtId="0" fontId="13" fillId="0" borderId="211" xfId="6" applyFont="1" applyBorder="1" applyAlignment="1" applyProtection="1">
      <alignment horizontal="left" vertical="center"/>
    </xf>
    <xf numFmtId="0" fontId="9" fillId="0" borderId="130" xfId="6" applyFont="1" applyBorder="1" applyAlignment="1" applyProtection="1">
      <alignment horizontal="left"/>
    </xf>
    <xf numFmtId="0" fontId="9" fillId="0" borderId="117" xfId="6" applyFont="1" applyBorder="1" applyAlignment="1" applyProtection="1">
      <alignment horizontal="left"/>
    </xf>
    <xf numFmtId="0" fontId="9" fillId="0" borderId="112" xfId="6" applyFont="1" applyBorder="1" applyAlignment="1" applyProtection="1">
      <alignment horizontal="left"/>
    </xf>
    <xf numFmtId="0" fontId="9" fillId="0" borderId="111" xfId="6" applyFont="1" applyBorder="1" applyAlignment="1" applyProtection="1">
      <alignment horizontal="left"/>
    </xf>
    <xf numFmtId="0" fontId="9" fillId="29" borderId="130" xfId="6" applyFont="1" applyFill="1" applyBorder="1" applyAlignment="1" applyProtection="1">
      <alignment horizontal="center"/>
      <protection locked="0"/>
    </xf>
    <xf numFmtId="0" fontId="9" fillId="29" borderId="117" xfId="6" applyFont="1" applyFill="1" applyBorder="1" applyAlignment="1" applyProtection="1">
      <alignment horizontal="center"/>
      <protection locked="0"/>
    </xf>
    <xf numFmtId="0" fontId="9" fillId="29" borderId="112" xfId="6" applyFont="1" applyFill="1" applyBorder="1" applyAlignment="1" applyProtection="1">
      <alignment horizontal="center"/>
      <protection locked="0"/>
    </xf>
    <xf numFmtId="0" fontId="9" fillId="2" borderId="160" xfId="6" applyFont="1" applyFill="1" applyBorder="1" applyAlignment="1" applyProtection="1">
      <alignment horizontal="center" vertical="center"/>
    </xf>
    <xf numFmtId="0" fontId="9" fillId="2" borderId="69" xfId="6" applyFont="1" applyFill="1" applyBorder="1" applyAlignment="1" applyProtection="1">
      <alignment horizontal="center" vertical="center"/>
    </xf>
    <xf numFmtId="0" fontId="9" fillId="2" borderId="113" xfId="6" applyFont="1" applyFill="1" applyBorder="1" applyAlignment="1" applyProtection="1">
      <alignment horizontal="center"/>
    </xf>
    <xf numFmtId="0" fontId="9" fillId="2" borderId="113" xfId="6" applyFont="1" applyFill="1" applyBorder="1" applyAlignment="1" applyProtection="1">
      <alignment horizontal="center" vertical="center"/>
    </xf>
    <xf numFmtId="0" fontId="9" fillId="29" borderId="130" xfId="5" applyFont="1" applyFill="1" applyBorder="1" applyAlignment="1" applyProtection="1">
      <alignment horizontal="center"/>
      <protection locked="0"/>
    </xf>
    <xf numFmtId="0" fontId="9" fillId="29" borderId="117" xfId="5" applyFont="1" applyFill="1" applyBorder="1" applyAlignment="1" applyProtection="1">
      <alignment horizontal="center"/>
      <protection locked="0"/>
    </xf>
    <xf numFmtId="0" fontId="9" fillId="29" borderId="186" xfId="5" applyFont="1" applyFill="1" applyBorder="1" applyAlignment="1" applyProtection="1">
      <alignment horizontal="center"/>
      <protection locked="0"/>
    </xf>
    <xf numFmtId="0" fontId="9" fillId="0" borderId="179" xfId="5" applyFont="1" applyBorder="1" applyAlignment="1" applyProtection="1">
      <alignment horizontal="center" vertical="center"/>
    </xf>
    <xf numFmtId="0" fontId="9" fillId="0" borderId="178" xfId="5" applyFont="1" applyBorder="1" applyAlignment="1" applyProtection="1">
      <alignment horizontal="center" vertical="center"/>
    </xf>
    <xf numFmtId="0" fontId="9" fillId="0" borderId="180" xfId="5" applyFont="1" applyBorder="1" applyAlignment="1" applyProtection="1">
      <alignment horizontal="center" vertical="center"/>
    </xf>
    <xf numFmtId="0" fontId="9" fillId="0" borderId="173" xfId="5" applyFont="1" applyBorder="1" applyAlignment="1" applyProtection="1">
      <alignment horizontal="center" vertical="center"/>
    </xf>
    <xf numFmtId="0" fontId="9" fillId="0" borderId="0" xfId="5" applyFont="1" applyBorder="1" applyAlignment="1" applyProtection="1">
      <alignment horizontal="center" vertical="center"/>
    </xf>
    <xf numFmtId="0" fontId="9" fillId="0" borderId="169" xfId="5" applyFont="1" applyBorder="1" applyAlignment="1" applyProtection="1">
      <alignment horizontal="center" vertical="center"/>
    </xf>
    <xf numFmtId="0" fontId="9" fillId="0" borderId="113" xfId="6" applyFont="1" applyBorder="1" applyAlignment="1" applyProtection="1">
      <alignment horizontal="left"/>
    </xf>
    <xf numFmtId="0" fontId="13" fillId="0" borderId="113" xfId="5" applyFont="1" applyBorder="1" applyAlignment="1" applyProtection="1">
      <alignment horizontal="left" vertical="center"/>
    </xf>
    <xf numFmtId="0" fontId="9" fillId="0" borderId="113" xfId="5" applyFont="1" applyBorder="1" applyAlignment="1" applyProtection="1">
      <alignment horizontal="center" vertical="center" wrapText="1"/>
    </xf>
    <xf numFmtId="0" fontId="9" fillId="0" borderId="81" xfId="6" applyFont="1" applyBorder="1" applyAlignment="1" applyProtection="1">
      <alignment horizontal="center" vertical="center" wrapText="1"/>
    </xf>
    <xf numFmtId="0" fontId="9" fillId="0" borderId="181" xfId="6" applyFont="1" applyBorder="1" applyAlignment="1" applyProtection="1">
      <alignment horizontal="center" vertical="center" wrapText="1"/>
    </xf>
    <xf numFmtId="0" fontId="6" fillId="23" borderId="200" xfId="0" applyFont="1" applyFill="1" applyBorder="1" applyAlignment="1" applyProtection="1">
      <alignment horizontal="center"/>
      <protection locked="0"/>
    </xf>
    <xf numFmtId="0" fontId="6" fillId="23" borderId="201" xfId="0" applyFont="1" applyFill="1" applyBorder="1" applyAlignment="1" applyProtection="1">
      <alignment horizontal="center"/>
      <protection locked="0"/>
    </xf>
    <xf numFmtId="0" fontId="6" fillId="23" borderId="199" xfId="0" applyFont="1" applyFill="1" applyBorder="1" applyAlignment="1" applyProtection="1">
      <alignment horizontal="center"/>
      <protection locked="0"/>
    </xf>
    <xf numFmtId="0" fontId="9" fillId="0" borderId="113" xfId="6" applyFont="1" applyBorder="1" applyAlignment="1" applyProtection="1">
      <alignment horizontal="center" vertical="center" wrapText="1"/>
    </xf>
    <xf numFmtId="0" fontId="9" fillId="0" borderId="209" xfId="6" applyFont="1" applyBorder="1" applyAlignment="1" applyProtection="1">
      <alignment horizontal="center" vertical="center" wrapText="1"/>
    </xf>
    <xf numFmtId="0" fontId="9" fillId="2" borderId="113" xfId="7" applyFont="1" applyFill="1" applyBorder="1" applyAlignment="1" applyProtection="1">
      <alignment horizontal="center" vertical="center"/>
    </xf>
    <xf numFmtId="0" fontId="9" fillId="2" borderId="113" xfId="7" applyFont="1" applyFill="1" applyBorder="1" applyAlignment="1" applyProtection="1">
      <alignment horizontal="center"/>
    </xf>
    <xf numFmtId="0" fontId="0" fillId="2" borderId="113" xfId="0" applyFill="1" applyBorder="1" applyAlignment="1" applyProtection="1">
      <alignment horizontal="right"/>
    </xf>
    <xf numFmtId="0" fontId="6" fillId="3" borderId="0" xfId="0" applyFont="1" applyFill="1" applyBorder="1" applyAlignment="1" applyProtection="1">
      <alignment horizontal="center"/>
    </xf>
    <xf numFmtId="0" fontId="6" fillId="2" borderId="30" xfId="0" applyFont="1" applyFill="1" applyBorder="1" applyAlignment="1" applyProtection="1">
      <alignment horizontal="right"/>
    </xf>
    <xf numFmtId="0" fontId="6" fillId="2" borderId="208" xfId="0" applyFont="1" applyFill="1" applyBorder="1" applyAlignment="1" applyProtection="1">
      <alignment horizontal="right"/>
    </xf>
    <xf numFmtId="0" fontId="25" fillId="0" borderId="113" xfId="7" applyFont="1" applyBorder="1" applyAlignment="1" applyProtection="1">
      <alignment horizontal="right" vertical="center"/>
    </xf>
    <xf numFmtId="0" fontId="9" fillId="2" borderId="168" xfId="7" applyFont="1" applyFill="1" applyBorder="1" applyAlignment="1" applyProtection="1">
      <alignment horizontal="center" vertical="center"/>
    </xf>
    <xf numFmtId="0" fontId="9" fillId="2" borderId="161" xfId="7" applyFont="1" applyFill="1" applyBorder="1" applyAlignment="1" applyProtection="1">
      <alignment horizontal="center" vertical="center"/>
    </xf>
    <xf numFmtId="10" fontId="9" fillId="24" borderId="113" xfId="6" applyNumberFormat="1" applyFont="1" applyFill="1" applyBorder="1" applyAlignment="1" applyProtection="1">
      <alignment horizontal="center" vertical="center"/>
    </xf>
    <xf numFmtId="0" fontId="6" fillId="2" borderId="113" xfId="0" applyFont="1" applyFill="1" applyBorder="1" applyAlignment="1" applyProtection="1">
      <alignment horizontal="right"/>
    </xf>
    <xf numFmtId="0" fontId="9" fillId="28" borderId="117" xfId="0" applyFont="1" applyFill="1" applyBorder="1" applyAlignment="1" applyProtection="1">
      <alignment horizontal="center"/>
      <protection locked="0"/>
    </xf>
    <xf numFmtId="0" fontId="32" fillId="0" borderId="113" xfId="0" applyFont="1" applyBorder="1" applyAlignment="1" applyProtection="1">
      <alignment horizontal="right"/>
    </xf>
    <xf numFmtId="0" fontId="9" fillId="5" borderId="6" xfId="0" applyFont="1" applyFill="1" applyBorder="1" applyAlignment="1" applyProtection="1">
      <alignment horizontal="left"/>
      <protection locked="0"/>
    </xf>
    <xf numFmtId="0" fontId="9" fillId="5" borderId="111" xfId="0" applyFont="1" applyFill="1" applyBorder="1" applyAlignment="1" applyProtection="1">
      <alignment horizontal="center"/>
    </xf>
    <xf numFmtId="0" fontId="9" fillId="5" borderId="6" xfId="0" applyFont="1" applyFill="1" applyBorder="1" applyAlignment="1" applyProtection="1">
      <alignment horizontal="center"/>
    </xf>
    <xf numFmtId="0" fontId="9" fillId="5" borderId="112" xfId="0" applyFont="1" applyFill="1" applyBorder="1" applyAlignment="1" applyProtection="1">
      <alignment horizontal="center"/>
    </xf>
    <xf numFmtId="0" fontId="9" fillId="5" borderId="111" xfId="0" applyFont="1" applyFill="1" applyBorder="1" applyAlignment="1" applyProtection="1">
      <alignment horizontal="center"/>
      <protection locked="0"/>
    </xf>
    <xf numFmtId="0" fontId="9" fillId="5" borderId="112" xfId="0" applyFont="1" applyFill="1" applyBorder="1" applyAlignment="1" applyProtection="1">
      <alignment horizontal="center"/>
      <protection locked="0"/>
    </xf>
    <xf numFmtId="0" fontId="9" fillId="5" borderId="8" xfId="0" applyFont="1" applyFill="1" applyBorder="1" applyAlignment="1" applyProtection="1">
      <alignment horizontal="left"/>
      <protection locked="0"/>
    </xf>
    <xf numFmtId="0" fontId="18" fillId="5" borderId="0" xfId="0" applyFont="1" applyFill="1" applyBorder="1" applyAlignment="1" applyProtection="1">
      <alignment horizontal="left"/>
      <protection locked="0"/>
    </xf>
    <xf numFmtId="0" fontId="77" fillId="6" borderId="213" xfId="0" applyFont="1" applyFill="1" applyBorder="1" applyAlignment="1" applyProtection="1">
      <alignment horizontal="left" wrapText="1"/>
    </xf>
    <xf numFmtId="0" fontId="77" fillId="6" borderId="210" xfId="0" applyFont="1" applyFill="1" applyBorder="1" applyAlignment="1" applyProtection="1">
      <alignment horizontal="left" wrapText="1"/>
    </xf>
    <xf numFmtId="0" fontId="77" fillId="6" borderId="206" xfId="0" applyFont="1" applyFill="1" applyBorder="1" applyAlignment="1" applyProtection="1">
      <alignment horizontal="left" wrapText="1"/>
    </xf>
    <xf numFmtId="0" fontId="77" fillId="6" borderId="162" xfId="0" applyFont="1" applyFill="1" applyBorder="1" applyAlignment="1" applyProtection="1">
      <alignment horizontal="left" wrapText="1"/>
    </xf>
    <xf numFmtId="0" fontId="77" fillId="6" borderId="164" xfId="0" applyFont="1" applyFill="1" applyBorder="1" applyAlignment="1" applyProtection="1">
      <alignment horizontal="left" wrapText="1"/>
    </xf>
    <xf numFmtId="0" fontId="77" fillId="6" borderId="163" xfId="0" applyFont="1" applyFill="1" applyBorder="1" applyAlignment="1" applyProtection="1">
      <alignment horizontal="left" wrapText="1"/>
    </xf>
    <xf numFmtId="0" fontId="9" fillId="7" borderId="113" xfId="0" applyFont="1" applyFill="1" applyBorder="1" applyAlignment="1" applyProtection="1">
      <alignment horizontal="center" vertical="center"/>
    </xf>
    <xf numFmtId="2" fontId="9" fillId="19" borderId="113" xfId="0" applyNumberFormat="1" applyFont="1" applyFill="1" applyBorder="1" applyAlignment="1" applyProtection="1">
      <alignment horizontal="center" vertical="center"/>
    </xf>
    <xf numFmtId="0" fontId="9" fillId="16" borderId="132" xfId="0" applyFont="1" applyFill="1" applyBorder="1" applyAlignment="1" applyProtection="1">
      <alignment horizontal="center"/>
    </xf>
    <xf numFmtId="0" fontId="9" fillId="16" borderId="136" xfId="0" applyFont="1" applyFill="1" applyBorder="1" applyAlignment="1" applyProtection="1">
      <alignment horizontal="center"/>
    </xf>
    <xf numFmtId="0" fontId="9" fillId="16" borderId="137" xfId="0" applyFont="1" applyFill="1" applyBorder="1" applyAlignment="1" applyProtection="1">
      <alignment horizontal="center" vertical="center"/>
    </xf>
    <xf numFmtId="0" fontId="9" fillId="16" borderId="138" xfId="0" applyFont="1" applyFill="1" applyBorder="1" applyAlignment="1" applyProtection="1">
      <alignment horizontal="center" vertical="center"/>
    </xf>
    <xf numFmtId="0" fontId="9" fillId="16" borderId="137" xfId="0" applyFont="1" applyFill="1" applyBorder="1" applyAlignment="1" applyProtection="1">
      <alignment horizontal="center"/>
    </xf>
    <xf numFmtId="0" fontId="9" fillId="16" borderId="139" xfId="0" applyFont="1" applyFill="1" applyBorder="1" applyAlignment="1" applyProtection="1">
      <alignment horizontal="center"/>
    </xf>
    <xf numFmtId="0" fontId="9" fillId="16" borderId="191" xfId="0" applyFont="1" applyFill="1" applyBorder="1" applyAlignment="1" applyProtection="1">
      <alignment horizontal="center" vertical="center"/>
    </xf>
    <xf numFmtId="0" fontId="9" fillId="16" borderId="192" xfId="0" applyFont="1" applyFill="1" applyBorder="1" applyAlignment="1" applyProtection="1">
      <alignment horizontal="center" vertical="center"/>
    </xf>
    <xf numFmtId="0" fontId="9" fillId="16" borderId="105" xfId="0" applyFont="1" applyFill="1" applyBorder="1" applyAlignment="1" applyProtection="1">
      <alignment horizontal="center" vertical="center"/>
    </xf>
    <xf numFmtId="0" fontId="9" fillId="5" borderId="113" xfId="0" applyFont="1" applyFill="1" applyBorder="1" applyAlignment="1" applyProtection="1">
      <alignment horizontal="center"/>
    </xf>
    <xf numFmtId="0" fontId="18" fillId="5" borderId="0" xfId="0" applyFont="1" applyFill="1" applyBorder="1" applyAlignment="1" applyProtection="1">
      <alignment horizontal="center"/>
    </xf>
    <xf numFmtId="0" fontId="57" fillId="0" borderId="113" xfId="0" applyFont="1" applyBorder="1" applyAlignment="1" applyProtection="1">
      <alignment horizontal="center"/>
      <protection locked="0"/>
    </xf>
    <xf numFmtId="0" fontId="57" fillId="0" borderId="200" xfId="0" applyFont="1" applyBorder="1" applyAlignment="1" applyProtection="1">
      <alignment horizontal="center"/>
      <protection locked="0"/>
    </xf>
    <xf numFmtId="0" fontId="57" fillId="0" borderId="199" xfId="0" applyFont="1" applyBorder="1" applyAlignment="1" applyProtection="1">
      <alignment horizontal="center"/>
      <protection locked="0"/>
    </xf>
    <xf numFmtId="0" fontId="6" fillId="2" borderId="191" xfId="0" applyFont="1" applyFill="1" applyBorder="1" applyAlignment="1" applyProtection="1">
      <alignment horizontal="center" vertical="center"/>
    </xf>
    <xf numFmtId="0" fontId="6" fillId="2" borderId="206" xfId="0" applyFont="1" applyFill="1" applyBorder="1" applyAlignment="1" applyProtection="1">
      <alignment horizontal="center" vertical="center"/>
    </xf>
    <xf numFmtId="0" fontId="6" fillId="2" borderId="191" xfId="0" applyFont="1" applyFill="1" applyBorder="1" applyAlignment="1" applyProtection="1">
      <alignment horizontal="center" vertical="center" wrapText="1"/>
    </xf>
    <xf numFmtId="0" fontId="6" fillId="2" borderId="206" xfId="0" applyFont="1" applyFill="1" applyBorder="1" applyAlignment="1" applyProtection="1">
      <alignment horizontal="center" vertical="center" wrapText="1"/>
    </xf>
    <xf numFmtId="0" fontId="18" fillId="5" borderId="0" xfId="0" applyFont="1" applyFill="1" applyBorder="1" applyAlignment="1" applyProtection="1">
      <alignment horizontal="center"/>
      <protection locked="0"/>
    </xf>
    <xf numFmtId="0" fontId="6" fillId="0" borderId="113" xfId="0" applyFont="1" applyBorder="1" applyAlignment="1" applyProtection="1">
      <alignment horizontal="center"/>
      <protection locked="0"/>
    </xf>
    <xf numFmtId="0" fontId="6" fillId="2" borderId="130" xfId="0" applyFont="1" applyFill="1" applyBorder="1" applyAlignment="1" applyProtection="1">
      <alignment horizontal="center" vertical="center"/>
    </xf>
    <xf numFmtId="0" fontId="6" fillId="2" borderId="112" xfId="0" applyFont="1" applyFill="1" applyBorder="1" applyAlignment="1" applyProtection="1">
      <alignment horizontal="center" vertical="center"/>
    </xf>
  </cellXfs>
  <cellStyles count="10">
    <cellStyle name="Milliers" xfId="1" builtinId="3"/>
    <cellStyle name="Normal" xfId="0" builtinId="0"/>
    <cellStyle name="Normal 2" xfId="3" xr:uid="{00000000-0005-0000-0000-000002000000}"/>
    <cellStyle name="Normal 2 3" xfId="6" xr:uid="{00000000-0005-0000-0000-000003000000}"/>
    <cellStyle name="Normal 3" xfId="4" xr:uid="{00000000-0005-0000-0000-000004000000}"/>
    <cellStyle name="Normal_QA - 25-apr-2007" xfId="5" xr:uid="{00000000-0005-0000-0000-000005000000}"/>
    <cellStyle name="Normal_QA - 25-apr-2007 2 2" xfId="7" xr:uid="{00000000-0005-0000-0000-000006000000}"/>
    <cellStyle name="Pourcentage" xfId="2" builtinId="5"/>
    <cellStyle name="Verrou" xfId="8" xr:uid="{00000000-0005-0000-0000-000008000000}"/>
    <cellStyle name="Verrou 2" xfId="9" xr:uid="{1C1C9F0F-8596-430C-977A-9638E4B8E56D}"/>
  </cellStyles>
  <dxfs count="153">
    <dxf>
      <font>
        <color theme="1"/>
      </font>
      <fill>
        <patternFill>
          <bgColor rgb="FFFDBBBB"/>
        </patternFill>
      </fill>
    </dxf>
    <dxf>
      <fill>
        <patternFill>
          <bgColor rgb="FFFDBEBE"/>
        </patternFill>
      </fill>
    </dxf>
    <dxf>
      <font>
        <color theme="1"/>
      </font>
      <fill>
        <patternFill>
          <bgColor theme="5" tint="0.39994506668294322"/>
        </patternFill>
      </fill>
    </dxf>
    <dxf>
      <fill>
        <patternFill>
          <bgColor rgb="FFFDBEBE"/>
        </patternFill>
      </fill>
    </dxf>
    <dxf>
      <fill>
        <patternFill>
          <bgColor rgb="FFFDBEBE"/>
        </patternFill>
      </fill>
    </dxf>
    <dxf>
      <font>
        <color theme="1"/>
      </font>
      <fill>
        <patternFill>
          <bgColor rgb="FFFDC5C5"/>
        </patternFill>
      </fill>
    </dxf>
    <dxf>
      <font>
        <color theme="1"/>
      </font>
      <fill>
        <patternFill>
          <bgColor theme="5" tint="0.39994506668294322"/>
        </patternFill>
      </fill>
    </dxf>
    <dxf>
      <fill>
        <patternFill>
          <bgColor rgb="FFFDBEBE"/>
        </patternFill>
      </fill>
    </dxf>
    <dxf>
      <font>
        <color theme="1"/>
      </font>
      <fill>
        <patternFill>
          <bgColor theme="5" tint="0.39994506668294322"/>
        </patternFill>
      </fill>
    </dxf>
    <dxf>
      <fill>
        <patternFill>
          <bgColor rgb="FFFFC7CE"/>
        </patternFill>
      </fill>
    </dxf>
    <dxf>
      <fill>
        <patternFill>
          <bgColor theme="5"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CD7D4"/>
        </patternFill>
      </fill>
    </dxf>
    <dxf>
      <fill>
        <patternFill>
          <bgColor rgb="FFFDDDDB"/>
        </patternFill>
      </fill>
    </dxf>
    <dxf>
      <fill>
        <patternFill>
          <bgColor rgb="FFFCD6D4"/>
        </patternFill>
      </fill>
    </dxf>
    <dxf>
      <fill>
        <patternFill>
          <bgColor rgb="FFFCD7D4"/>
        </patternFill>
      </fill>
    </dxf>
    <dxf>
      <fill>
        <patternFill>
          <bgColor rgb="FFFDD0CF"/>
        </patternFill>
      </fill>
    </dxf>
    <dxf>
      <fill>
        <patternFill>
          <bgColor rgb="FFFCDAD4"/>
        </patternFill>
      </fill>
    </dxf>
    <dxf>
      <fill>
        <patternFill>
          <bgColor rgb="FFFDD6D3"/>
        </patternFill>
      </fill>
    </dxf>
    <dxf>
      <fill>
        <patternFill>
          <bgColor rgb="FFFCD7D4"/>
        </patternFill>
      </fill>
    </dxf>
    <dxf>
      <fill>
        <patternFill>
          <bgColor rgb="FFFEEBE8"/>
        </patternFill>
      </fill>
    </dxf>
    <dxf>
      <fill>
        <patternFill>
          <bgColor rgb="FFFBC9C5"/>
        </patternFill>
      </fill>
    </dxf>
    <dxf>
      <fill>
        <patternFill>
          <bgColor rgb="FFF6816A"/>
        </patternFill>
      </fill>
    </dxf>
    <dxf>
      <fill>
        <patternFill>
          <bgColor rgb="FFFBC9C5"/>
        </patternFill>
      </fill>
    </dxf>
    <dxf>
      <fill>
        <patternFill>
          <bgColor rgb="FFF57759"/>
        </patternFill>
      </fill>
    </dxf>
    <dxf>
      <font>
        <color theme="0" tint="-0.14996795556505021"/>
      </font>
      <fill>
        <patternFill>
          <bgColor theme="0" tint="-0.14996795556505021"/>
        </patternFill>
      </fill>
    </dxf>
    <dxf>
      <fill>
        <patternFill>
          <bgColor rgb="FFFFC7CE"/>
        </patternFill>
      </fill>
    </dxf>
    <dxf>
      <fill>
        <patternFill>
          <bgColor rgb="FFFF9999"/>
        </patternFill>
      </fill>
    </dxf>
    <dxf>
      <font>
        <color theme="1"/>
      </font>
      <fill>
        <patternFill>
          <bgColor theme="5" tint="0.79998168889431442"/>
        </patternFill>
      </fill>
    </dxf>
    <dxf>
      <font>
        <color rgb="FF9C0006"/>
      </font>
      <fill>
        <patternFill>
          <bgColor rgb="FFFFC7CE"/>
        </patternFill>
      </fill>
    </dxf>
    <dxf>
      <fill>
        <patternFill>
          <bgColor rgb="FFFFC7CE"/>
        </patternFill>
      </fill>
    </dxf>
    <dxf>
      <fill>
        <patternFill>
          <bgColor rgb="FFFFC7CE"/>
        </patternFill>
      </fill>
    </dxf>
    <dxf>
      <fill>
        <patternFill>
          <bgColor rgb="FFFADBD2"/>
        </patternFill>
      </fill>
    </dxf>
    <dxf>
      <fill>
        <patternFill>
          <bgColor rgb="FFFCD7D4"/>
        </patternFill>
      </fill>
    </dxf>
    <dxf>
      <fill>
        <patternFill>
          <bgColor rgb="FFFDDDDB"/>
        </patternFill>
      </fill>
    </dxf>
    <dxf>
      <fill>
        <patternFill>
          <bgColor rgb="FFFCD6D4"/>
        </patternFill>
      </fill>
    </dxf>
    <dxf>
      <fill>
        <patternFill>
          <bgColor rgb="FFFCD7D4"/>
        </patternFill>
      </fill>
    </dxf>
    <dxf>
      <fill>
        <patternFill>
          <bgColor rgb="FFFDD0CF"/>
        </patternFill>
      </fill>
    </dxf>
    <dxf>
      <fill>
        <patternFill>
          <bgColor rgb="FFFCDAD4"/>
        </patternFill>
      </fill>
    </dxf>
    <dxf>
      <fill>
        <patternFill>
          <bgColor rgb="FFFDD6D3"/>
        </patternFill>
      </fill>
    </dxf>
    <dxf>
      <fill>
        <patternFill>
          <bgColor rgb="FFFCD7D4"/>
        </patternFill>
      </fill>
    </dxf>
    <dxf>
      <fill>
        <patternFill>
          <bgColor rgb="FFFEEBE8"/>
        </patternFill>
      </fill>
    </dxf>
    <dxf>
      <fill>
        <patternFill>
          <bgColor rgb="FFFBC9C5"/>
        </patternFill>
      </fill>
    </dxf>
    <dxf>
      <fill>
        <patternFill>
          <bgColor rgb="FFF6816A"/>
        </patternFill>
      </fill>
    </dxf>
    <dxf>
      <fill>
        <patternFill>
          <bgColor rgb="FFFBC9C5"/>
        </patternFill>
      </fill>
    </dxf>
    <dxf>
      <fill>
        <patternFill>
          <bgColor rgb="FFF57759"/>
        </patternFill>
      </fill>
    </dxf>
    <dxf>
      <font>
        <color theme="0" tint="-0.14996795556505021"/>
      </font>
      <fill>
        <patternFill>
          <bgColor theme="0" tint="-0.14996795556505021"/>
        </patternFill>
      </fill>
    </dxf>
    <dxf>
      <fill>
        <patternFill>
          <bgColor rgb="FFFFC7CE"/>
        </patternFill>
      </fill>
    </dxf>
    <dxf>
      <fill>
        <patternFill>
          <bgColor rgb="FFFF9999"/>
        </patternFill>
      </fill>
    </dxf>
    <dxf>
      <font>
        <color theme="1"/>
      </font>
      <fill>
        <patternFill>
          <bgColor theme="5" tint="0.79998168889431442"/>
        </patternFill>
      </fill>
    </dxf>
    <dxf>
      <font>
        <color rgb="FF9C0006"/>
      </font>
      <fill>
        <patternFill>
          <bgColor rgb="FFFFC7CE"/>
        </patternFill>
      </fill>
    </dxf>
    <dxf>
      <fill>
        <patternFill>
          <bgColor rgb="FFFFC7CE"/>
        </patternFill>
      </fill>
    </dxf>
    <dxf>
      <fill>
        <patternFill>
          <bgColor rgb="FFFFC7CE"/>
        </patternFill>
      </fill>
    </dxf>
    <dxf>
      <fill>
        <patternFill>
          <bgColor rgb="FFFADBD2"/>
        </patternFill>
      </fill>
    </dxf>
    <dxf>
      <fill>
        <patternFill>
          <bgColor rgb="FFFCD7D4"/>
        </patternFill>
      </fill>
    </dxf>
    <dxf>
      <fill>
        <patternFill>
          <bgColor rgb="FFFDDDDB"/>
        </patternFill>
      </fill>
    </dxf>
    <dxf>
      <fill>
        <patternFill>
          <bgColor rgb="FFFCD6D4"/>
        </patternFill>
      </fill>
    </dxf>
    <dxf>
      <fill>
        <patternFill>
          <bgColor rgb="FFFCD7D4"/>
        </patternFill>
      </fill>
    </dxf>
    <dxf>
      <fill>
        <patternFill>
          <bgColor rgb="FFFDD0CF"/>
        </patternFill>
      </fill>
    </dxf>
    <dxf>
      <fill>
        <patternFill>
          <bgColor rgb="FFFCDAD4"/>
        </patternFill>
      </fill>
    </dxf>
    <dxf>
      <fill>
        <patternFill>
          <bgColor rgb="FFFDD6D3"/>
        </patternFill>
      </fill>
    </dxf>
    <dxf>
      <fill>
        <patternFill>
          <bgColor rgb="FFFCD7D4"/>
        </patternFill>
      </fill>
    </dxf>
    <dxf>
      <fill>
        <patternFill>
          <bgColor rgb="FFFEEBE8"/>
        </patternFill>
      </fill>
    </dxf>
    <dxf>
      <fill>
        <patternFill>
          <bgColor rgb="FFFBC9C5"/>
        </patternFill>
      </fill>
    </dxf>
    <dxf>
      <fill>
        <patternFill>
          <bgColor rgb="FFF6816A"/>
        </patternFill>
      </fill>
    </dxf>
    <dxf>
      <fill>
        <patternFill>
          <bgColor rgb="FFFBC9C5"/>
        </patternFill>
      </fill>
    </dxf>
    <dxf>
      <fill>
        <patternFill>
          <bgColor rgb="FFF57759"/>
        </patternFill>
      </fill>
    </dxf>
    <dxf>
      <font>
        <color theme="0" tint="-0.14996795556505021"/>
      </font>
      <fill>
        <patternFill>
          <bgColor theme="0" tint="-0.14996795556505021"/>
        </patternFill>
      </fill>
    </dxf>
    <dxf>
      <fill>
        <patternFill>
          <bgColor rgb="FFFFC7CE"/>
        </patternFill>
      </fill>
    </dxf>
    <dxf>
      <fill>
        <patternFill>
          <bgColor rgb="FFFF9999"/>
        </patternFill>
      </fill>
    </dxf>
    <dxf>
      <font>
        <color theme="1"/>
      </font>
      <fill>
        <patternFill>
          <bgColor theme="5" tint="0.79998168889431442"/>
        </patternFill>
      </fill>
    </dxf>
    <dxf>
      <font>
        <color rgb="FF9C0006"/>
      </font>
      <fill>
        <patternFill>
          <bgColor rgb="FFFFC7CE"/>
        </patternFill>
      </fill>
    </dxf>
    <dxf>
      <fill>
        <patternFill>
          <bgColor rgb="FFFFC7CE"/>
        </patternFill>
      </fill>
    </dxf>
    <dxf>
      <fill>
        <patternFill>
          <bgColor rgb="FFFFC7CE"/>
        </patternFill>
      </fill>
    </dxf>
    <dxf>
      <fill>
        <patternFill>
          <bgColor rgb="FFFADBD2"/>
        </patternFill>
      </fill>
    </dxf>
    <dxf>
      <font>
        <color theme="1"/>
      </font>
      <fill>
        <patternFill>
          <bgColor rgb="FFFFE1E2"/>
        </patternFill>
      </fill>
    </dxf>
    <dxf>
      <font>
        <color auto="1"/>
      </font>
      <fill>
        <patternFill>
          <bgColor rgb="FFFEDADB"/>
        </patternFill>
      </fill>
    </dxf>
    <dxf>
      <fill>
        <patternFill>
          <bgColor rgb="FFFFC7CE"/>
        </patternFill>
      </fill>
    </dxf>
    <dxf>
      <fill>
        <patternFill>
          <bgColor rgb="FFFFC7CE"/>
        </patternFill>
      </fill>
    </dxf>
    <dxf>
      <fill>
        <patternFill>
          <bgColor rgb="FFFFE5E7"/>
        </patternFill>
      </fill>
    </dxf>
    <dxf>
      <fill>
        <patternFill>
          <bgColor rgb="FFFFE5E7"/>
        </patternFill>
      </fill>
    </dxf>
    <dxf>
      <fill>
        <patternFill>
          <bgColor rgb="FFFFE5E7"/>
        </patternFill>
      </fill>
    </dxf>
    <dxf>
      <fill>
        <patternFill>
          <bgColor rgb="FFFFE5E7"/>
        </patternFill>
      </fill>
    </dxf>
    <dxf>
      <fill>
        <patternFill>
          <bgColor rgb="FFFEE3DE"/>
        </patternFill>
      </fill>
    </dxf>
    <dxf>
      <fill>
        <patternFill>
          <bgColor rgb="FFFFD9DC"/>
        </patternFill>
      </fill>
    </dxf>
    <dxf>
      <fill>
        <patternFill>
          <bgColor theme="5" tint="0.79998168889431442"/>
        </patternFill>
      </fill>
    </dxf>
    <dxf>
      <font>
        <color auto="1"/>
      </font>
      <fill>
        <patternFill>
          <bgColor theme="5" tint="0.79998168889431442"/>
        </patternFill>
      </fill>
    </dxf>
    <dxf>
      <fill>
        <patternFill>
          <bgColor rgb="FFFEDCDA"/>
        </patternFill>
      </fill>
    </dxf>
    <dxf>
      <fill>
        <patternFill>
          <bgColor rgb="FFFBC8B3"/>
        </patternFill>
      </fill>
    </dxf>
    <dxf>
      <fill>
        <patternFill>
          <bgColor rgb="FFFFE5E6"/>
        </patternFill>
      </fill>
    </dxf>
    <dxf>
      <fill>
        <patternFill>
          <bgColor rgb="FFFFE5E5"/>
        </patternFill>
      </fill>
    </dxf>
    <dxf>
      <fill>
        <patternFill>
          <bgColor rgb="FFFFEBEC"/>
        </patternFill>
      </fill>
    </dxf>
    <dxf>
      <fill>
        <patternFill>
          <bgColor rgb="FFFFE1E4"/>
        </patternFill>
      </fill>
    </dxf>
    <dxf>
      <fill>
        <patternFill>
          <bgColor rgb="FFFFE5E5"/>
        </patternFill>
      </fill>
    </dxf>
    <dxf>
      <fill>
        <patternFill>
          <bgColor rgb="FFFFD9DB"/>
        </patternFill>
      </fill>
    </dxf>
    <dxf>
      <font>
        <color auto="1"/>
      </font>
      <fill>
        <patternFill>
          <bgColor rgb="FFFFE1E4"/>
        </patternFill>
      </fill>
    </dxf>
    <dxf>
      <font>
        <color auto="1"/>
      </font>
      <fill>
        <patternFill>
          <bgColor rgb="FFFFE1E4"/>
        </patternFill>
      </fill>
    </dxf>
    <dxf>
      <font>
        <color auto="1"/>
      </font>
      <fill>
        <patternFill>
          <bgColor rgb="FFFFD5D9"/>
        </patternFill>
      </fill>
    </dxf>
    <dxf>
      <font>
        <color auto="1"/>
      </font>
      <fill>
        <patternFill>
          <bgColor rgb="FFFFD5D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rgb="FFFF9999"/>
        </patternFill>
      </fill>
    </dxf>
    <dxf>
      <fill>
        <patternFill>
          <bgColor theme="5" tint="0.79998168889431442"/>
        </patternFill>
      </fill>
    </dxf>
    <dxf>
      <fill>
        <patternFill>
          <bgColor theme="5" tint="0.79998168889431442"/>
        </patternFill>
      </fill>
    </dxf>
    <dxf>
      <fill>
        <patternFill>
          <bgColor theme="0"/>
        </patternFill>
      </fill>
    </dxf>
    <dxf>
      <fill>
        <patternFill>
          <bgColor rgb="FFFF9999"/>
        </patternFill>
      </fill>
    </dxf>
    <dxf>
      <fill>
        <patternFill>
          <bgColor theme="5" tint="0.79998168889431442"/>
        </patternFill>
      </fill>
    </dxf>
    <dxf>
      <font>
        <color auto="1"/>
      </font>
      <fill>
        <patternFill>
          <bgColor rgb="FFFDD6D3"/>
        </patternFill>
      </fill>
    </dxf>
    <dxf>
      <fill>
        <patternFill>
          <bgColor rgb="FFFFE1E2"/>
        </patternFill>
      </fill>
    </dxf>
    <dxf>
      <fill>
        <patternFill>
          <fgColor rgb="FFFFFFEB"/>
          <bgColor theme="0"/>
        </patternFill>
      </fill>
    </dxf>
    <dxf>
      <font>
        <color auto="1"/>
      </font>
      <fill>
        <patternFill>
          <bgColor rgb="FFFFDDDF"/>
        </patternFill>
      </fill>
    </dxf>
    <dxf>
      <fill>
        <patternFill>
          <bgColor rgb="FFFFC7CE"/>
        </patternFill>
      </fill>
    </dxf>
    <dxf>
      <fill>
        <patternFill>
          <bgColor theme="5" tint="0.39994506668294322"/>
        </patternFill>
      </fill>
    </dxf>
    <dxf>
      <fill>
        <patternFill>
          <bgColor rgb="FFFFC7CE"/>
        </patternFill>
      </fill>
    </dxf>
    <dxf>
      <fill>
        <patternFill>
          <fgColor rgb="FFFFFFEB"/>
          <bgColor theme="0"/>
        </patternFill>
      </fill>
    </dxf>
    <dxf>
      <font>
        <color auto="1"/>
      </font>
      <fill>
        <patternFill>
          <bgColor rgb="FFFFDDDF"/>
        </patternFill>
      </fill>
    </dxf>
    <dxf>
      <fill>
        <patternFill>
          <fgColor rgb="FFFFFFEB"/>
          <bgColor theme="0"/>
        </patternFill>
      </fill>
    </dxf>
    <dxf>
      <font>
        <color auto="1"/>
      </font>
      <fill>
        <patternFill>
          <bgColor rgb="FFFFDDDF"/>
        </patternFill>
      </fill>
    </dxf>
    <dxf>
      <fill>
        <patternFill>
          <fgColor rgb="FFFFFFEB"/>
          <bgColor theme="0"/>
        </patternFill>
      </fill>
    </dxf>
    <dxf>
      <font>
        <color auto="1"/>
      </font>
      <fill>
        <patternFill>
          <bgColor rgb="FFFFDDDF"/>
        </patternFill>
      </fill>
    </dxf>
    <dxf>
      <fill>
        <patternFill>
          <bgColor rgb="FFFFC7CE"/>
        </patternFill>
      </fill>
    </dxf>
    <dxf>
      <fill>
        <patternFill>
          <bgColor rgb="FFFFC7CE"/>
        </patternFill>
      </fill>
    </dxf>
    <dxf>
      <fill>
        <patternFill>
          <fgColor rgb="FFFFFFEB"/>
          <bgColor theme="0"/>
        </patternFill>
      </fill>
    </dxf>
    <dxf>
      <fill>
        <patternFill>
          <bgColor rgb="FFFFC7CE"/>
        </patternFill>
      </fill>
    </dxf>
    <dxf>
      <fill>
        <patternFill>
          <bgColor rgb="FFFDD4CF"/>
        </patternFill>
      </fill>
    </dxf>
    <dxf>
      <fill>
        <patternFill>
          <bgColor rgb="FFFFC7CE"/>
        </patternFill>
      </fill>
    </dxf>
    <dxf>
      <font>
        <color auto="1"/>
      </font>
      <fill>
        <patternFill>
          <bgColor rgb="FFFFD1D1"/>
        </patternFill>
      </fill>
    </dxf>
    <dxf>
      <fill>
        <patternFill>
          <bgColor rgb="FFFFC7CE"/>
        </patternFill>
      </fill>
    </dxf>
    <dxf>
      <font>
        <color auto="1"/>
      </font>
      <fill>
        <patternFill>
          <bgColor rgb="FFFED6D6"/>
        </patternFill>
      </fill>
    </dxf>
  </dxfs>
  <tableStyles count="0" defaultTableStyle="TableStyleMedium2" defaultPivotStyle="PivotStyleLight16"/>
  <colors>
    <mruColors>
      <color rgb="FFFBC8B3"/>
      <color rgb="FFFDD0CF"/>
      <color rgb="FFFDD6D3"/>
      <color rgb="FFFDDDDB"/>
      <color rgb="FFFCD6D4"/>
      <color rgb="FFFEEBE8"/>
      <color rgb="FFFDD4CF"/>
      <color rgb="FFFCD7D4"/>
      <color rgb="FFFCDAD4"/>
      <color rgb="FFFAD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a:latin typeface="Arial" panose="020B0604020202020204" pitchFamily="34" charset="0"/>
                <a:cs typeface="Arial" panose="020B0604020202020204" pitchFamily="34" charset="0"/>
              </a:rPr>
              <a:t>VMP(mAs)</a:t>
            </a:r>
          </a:p>
        </c:rich>
      </c:tx>
      <c:layout>
        <c:manualLayout>
          <c:xMode val="edge"/>
          <c:yMode val="edge"/>
          <c:x val="0.36104361063883095"/>
          <c:y val="1.6846578534684485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8949007842939353"/>
          <c:y val="0.11351431274123117"/>
          <c:w val="0.75122551365423196"/>
          <c:h val="0.61581567362596756"/>
        </c:manualLayout>
      </c:layout>
      <c:scatterChart>
        <c:scatterStyle val="lineMarker"/>
        <c:varyColors val="0"/>
        <c:ser>
          <c:idx val="0"/>
          <c:order val="0"/>
          <c:tx>
            <c:v>VMP(mAs)</c:v>
          </c:tx>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xVal>
            <c:numRef>
              <c:f>'2.4 Détecteur(lin)'!$B$11:$B$15</c:f>
              <c:numCache>
                <c:formatCode>General</c:formatCode>
                <c:ptCount val="5"/>
                <c:pt idx="0">
                  <c:v>25</c:v>
                </c:pt>
                <c:pt idx="1">
                  <c:v>50</c:v>
                </c:pt>
                <c:pt idx="2">
                  <c:v>100</c:v>
                </c:pt>
                <c:pt idx="3">
                  <c:v>180</c:v>
                </c:pt>
                <c:pt idx="4">
                  <c:v>300</c:v>
                </c:pt>
              </c:numCache>
            </c:numRef>
          </c:xVal>
          <c:yVal>
            <c:numRef>
              <c:f>'2.4 Détecteur(lin)'!$D$11:$D$15</c:f>
              <c:numCache>
                <c:formatCode>General</c:formatCode>
                <c:ptCount val="5"/>
                <c:pt idx="0">
                  <c:v>340</c:v>
                </c:pt>
                <c:pt idx="1">
                  <c:v>750</c:v>
                </c:pt>
                <c:pt idx="2">
                  <c:v>1300</c:v>
                </c:pt>
                <c:pt idx="3">
                  <c:v>2110</c:v>
                </c:pt>
                <c:pt idx="4">
                  <c:v>3300</c:v>
                </c:pt>
              </c:numCache>
            </c:numRef>
          </c:yVal>
          <c:smooth val="0"/>
          <c:extLst>
            <c:ext xmlns:c16="http://schemas.microsoft.com/office/drawing/2014/chart" uri="{C3380CC4-5D6E-409C-BE32-E72D297353CC}">
              <c16:uniqueId val="{00000000-1083-4A47-8696-54893035B0BC}"/>
            </c:ext>
          </c:extLst>
        </c:ser>
        <c:dLbls>
          <c:showLegendKey val="0"/>
          <c:showVal val="0"/>
          <c:showCatName val="0"/>
          <c:showSerName val="0"/>
          <c:showPercent val="0"/>
          <c:showBubbleSize val="0"/>
        </c:dLbls>
        <c:axId val="115983488"/>
        <c:axId val="115985408"/>
      </c:scatterChart>
      <c:valAx>
        <c:axId val="11598348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85408"/>
        <c:crosses val="autoZero"/>
        <c:crossBetween val="midCat"/>
      </c:valAx>
      <c:valAx>
        <c:axId val="115985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VMP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983488"/>
        <c:crosses val="autoZero"/>
        <c:crossBetween val="midCat"/>
      </c:valAx>
      <c:spPr>
        <a:noFill/>
        <a:ln w="12700">
          <a:solidFill>
            <a:schemeClr val="accent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sz="900">
                <a:latin typeface="Arial" panose="020B0604020202020204" pitchFamily="34" charset="0"/>
                <a:cs typeface="Arial" panose="020B0604020202020204" pitchFamily="34" charset="0"/>
              </a:rPr>
              <a:t>C</a:t>
            </a:r>
            <a:r>
              <a:rPr lang="fr-CA" sz="900" baseline="30000">
                <a:latin typeface="Arial" panose="020B0604020202020204" pitchFamily="34" charset="0"/>
                <a:cs typeface="Arial" panose="020B0604020202020204" pitchFamily="34" charset="0"/>
              </a:rPr>
              <a:t>2</a:t>
            </a:r>
            <a:r>
              <a:rPr lang="fr-CA" sz="900">
                <a:latin typeface="Arial" panose="020B0604020202020204" pitchFamily="34" charset="0"/>
                <a:cs typeface="Arial" panose="020B0604020202020204" pitchFamily="34" charset="0"/>
              </a:rPr>
              <a:t> (mAs)</a:t>
            </a:r>
          </a:p>
        </c:rich>
      </c:tx>
      <c:layout>
        <c:manualLayout>
          <c:xMode val="edge"/>
          <c:yMode val="edge"/>
          <c:x val="0.39343762670966259"/>
          <c:y val="7.3878572712512882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435375068230114"/>
          <c:y val="0.13413207510949446"/>
          <c:w val="0.7442561540272582"/>
          <c:h val="0.63248220838066882"/>
        </c:manualLayout>
      </c:layout>
      <c:scatterChart>
        <c:scatterStyle val="lineMarker"/>
        <c:varyColors val="0"/>
        <c:ser>
          <c:idx val="0"/>
          <c:order val="0"/>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'2.4 Détecteur(lin)'!$B$11:$B$15</c:f>
              <c:numCache>
                <c:formatCode>General</c:formatCode>
                <c:ptCount val="5"/>
                <c:pt idx="0">
                  <c:v>25</c:v>
                </c:pt>
                <c:pt idx="1">
                  <c:v>50</c:v>
                </c:pt>
                <c:pt idx="2">
                  <c:v>100</c:v>
                </c:pt>
                <c:pt idx="3">
                  <c:v>180</c:v>
                </c:pt>
                <c:pt idx="4">
                  <c:v>300</c:v>
                </c:pt>
              </c:numCache>
            </c:numRef>
          </c:xVal>
          <c:yVal>
            <c:numRef>
              <c:f>'2.4 Détecteur(lin)'!$I$11:$I$15</c:f>
              <c:numCache>
                <c:formatCode>0</c:formatCode>
                <c:ptCount val="5"/>
                <c:pt idx="0">
                  <c:v>36</c:v>
                </c:pt>
                <c:pt idx="1">
                  <c:v>121</c:v>
                </c:pt>
                <c:pt idx="2">
                  <c:v>196</c:v>
                </c:pt>
                <c:pt idx="3">
                  <c:v>289</c:v>
                </c:pt>
                <c:pt idx="4">
                  <c:v>441</c:v>
                </c:pt>
              </c:numCache>
            </c:numRef>
          </c:yVal>
          <c:smooth val="0"/>
          <c:extLst>
            <c:ext xmlns:c16="http://schemas.microsoft.com/office/drawing/2014/chart" uri="{C3380CC4-5D6E-409C-BE32-E72D297353CC}">
              <c16:uniqueId val="{00000000-46FE-4010-89F7-C8B4FEAE3EB6}"/>
            </c:ext>
          </c:extLst>
        </c:ser>
        <c:dLbls>
          <c:showLegendKey val="0"/>
          <c:showVal val="0"/>
          <c:showCatName val="0"/>
          <c:showSerName val="0"/>
          <c:showPercent val="0"/>
          <c:showBubbleSize val="0"/>
        </c:dLbls>
        <c:axId val="115642368"/>
        <c:axId val="115644288"/>
      </c:scatterChart>
      <c:valAx>
        <c:axId val="115642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644288"/>
        <c:crosses val="autoZero"/>
        <c:crossBetween val="midCat"/>
      </c:valAx>
      <c:valAx>
        <c:axId val="1156442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baseline="0"/>
                  <a:t>C</a:t>
                </a:r>
                <a:r>
                  <a:rPr lang="fr-CA" baseline="30000"/>
                  <a:t>2</a:t>
                </a:r>
              </a:p>
            </c:rich>
          </c:tx>
          <c:layout>
            <c:manualLayout>
              <c:xMode val="edge"/>
              <c:yMode val="edge"/>
              <c:x val="0"/>
              <c:y val="0.390842010911568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6423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sz="900">
                <a:latin typeface="Arial" panose="020B0604020202020204" pitchFamily="34" charset="0"/>
                <a:cs typeface="Arial" panose="020B0604020202020204" pitchFamily="34" charset="0"/>
              </a:rPr>
              <a:t>SDNR</a:t>
            </a:r>
            <a:r>
              <a:rPr lang="fr-CA" sz="900" baseline="30000">
                <a:latin typeface="Arial" panose="020B0604020202020204" pitchFamily="34" charset="0"/>
                <a:cs typeface="Arial" panose="020B0604020202020204" pitchFamily="34" charset="0"/>
              </a:rPr>
              <a:t>2</a:t>
            </a:r>
            <a:r>
              <a:rPr lang="fr-CA" sz="900">
                <a:latin typeface="Arial" panose="020B0604020202020204" pitchFamily="34" charset="0"/>
                <a:cs typeface="Arial" panose="020B0604020202020204" pitchFamily="34" charset="0"/>
              </a:rPr>
              <a:t>(mAs)</a:t>
            </a:r>
          </a:p>
        </c:rich>
      </c:tx>
      <c:layout>
        <c:manualLayout>
          <c:xMode val="edge"/>
          <c:yMode val="edge"/>
          <c:x val="0.40070421514455445"/>
          <c:y val="2.162718145034944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20721059549702056"/>
          <c:y val="0.1484481787756177"/>
          <c:w val="0.73058869212501176"/>
          <c:h val="0.63248220838066882"/>
        </c:manualLayout>
      </c:layout>
      <c:scatterChart>
        <c:scatterStyle val="lineMarker"/>
        <c:varyColors val="0"/>
        <c:ser>
          <c:idx val="0"/>
          <c:order val="0"/>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'2.4 Détecteur(lin)'!$B$11:$B$15</c:f>
              <c:numCache>
                <c:formatCode>General</c:formatCode>
                <c:ptCount val="5"/>
                <c:pt idx="0">
                  <c:v>25</c:v>
                </c:pt>
                <c:pt idx="1">
                  <c:v>50</c:v>
                </c:pt>
                <c:pt idx="2">
                  <c:v>100</c:v>
                </c:pt>
                <c:pt idx="3">
                  <c:v>180</c:v>
                </c:pt>
                <c:pt idx="4">
                  <c:v>300</c:v>
                </c:pt>
              </c:numCache>
            </c:numRef>
          </c:xVal>
          <c:yVal>
            <c:numRef>
              <c:f>'2.4 Détecteur(lin)'!$G$11:$G$15</c:f>
              <c:numCache>
                <c:formatCode>0.0</c:formatCode>
                <c:ptCount val="5"/>
                <c:pt idx="0">
                  <c:v>544.44444444444434</c:v>
                </c:pt>
                <c:pt idx="1">
                  <c:v>516.52892561983469</c:v>
                </c:pt>
                <c:pt idx="2">
                  <c:v>459.18367346938771</c:v>
                </c:pt>
                <c:pt idx="3">
                  <c:v>332.52595155709338</c:v>
                </c:pt>
                <c:pt idx="4">
                  <c:v>204.08163265306123</c:v>
                </c:pt>
              </c:numCache>
            </c:numRef>
          </c:yVal>
          <c:smooth val="0"/>
          <c:extLst>
            <c:ext xmlns:c16="http://schemas.microsoft.com/office/drawing/2014/chart" uri="{C3380CC4-5D6E-409C-BE32-E72D297353CC}">
              <c16:uniqueId val="{00000000-1155-4B72-ABDB-14D1FC9A4E31}"/>
            </c:ext>
          </c:extLst>
        </c:ser>
        <c:dLbls>
          <c:showLegendKey val="0"/>
          <c:showVal val="0"/>
          <c:showCatName val="0"/>
          <c:showSerName val="0"/>
          <c:showPercent val="0"/>
          <c:showBubbleSize val="0"/>
        </c:dLbls>
        <c:axId val="115661440"/>
        <c:axId val="121467648"/>
      </c:scatterChart>
      <c:valAx>
        <c:axId val="11566144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467648"/>
        <c:crosses val="autoZero"/>
        <c:crossBetween val="midCat"/>
      </c:valAx>
      <c:valAx>
        <c:axId val="1214676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SDNR</a:t>
                </a:r>
                <a:r>
                  <a:rPr lang="en-US" baseline="30000"/>
                  <a:t>2</a:t>
                </a:r>
              </a:p>
            </c:rich>
          </c:tx>
          <c:layout>
            <c:manualLayout>
              <c:xMode val="edge"/>
              <c:yMode val="edge"/>
              <c:x val="4.8442922412747433E-3"/>
              <c:y val="0.430788478218419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5661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sz="900">
                <a:latin typeface="Arial" panose="020B0604020202020204" pitchFamily="34" charset="0"/>
                <a:cs typeface="Arial" panose="020B0604020202020204" pitchFamily="34" charset="0"/>
              </a:rPr>
              <a:t>C</a:t>
            </a:r>
            <a:r>
              <a:rPr lang="fr-CA" sz="900" baseline="30000">
                <a:latin typeface="Arial" panose="020B0604020202020204" pitchFamily="34" charset="0"/>
                <a:cs typeface="Arial" panose="020B0604020202020204" pitchFamily="34" charset="0"/>
              </a:rPr>
              <a:t>2</a:t>
            </a:r>
            <a:r>
              <a:rPr lang="fr-CA" sz="900">
                <a:latin typeface="Arial" panose="020B0604020202020204" pitchFamily="34" charset="0"/>
                <a:cs typeface="Arial" panose="020B0604020202020204" pitchFamily="34" charset="0"/>
              </a:rPr>
              <a:t> (1/mAs)</a:t>
            </a:r>
          </a:p>
        </c:rich>
      </c:tx>
      <c:layout>
        <c:manualLayout>
          <c:xMode val="edge"/>
          <c:yMode val="edge"/>
          <c:x val="0.37530266343825663"/>
          <c:y val="2.954366093647589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4450134411164706"/>
          <c:y val="0.15694023049871211"/>
          <c:w val="0.72918408454757111"/>
          <c:h val="0.63248220838066882"/>
        </c:manualLayout>
      </c:layout>
      <c:scatterChart>
        <c:scatterStyle val="lineMarker"/>
        <c:varyColors val="0"/>
        <c:ser>
          <c:idx val="0"/>
          <c:order val="0"/>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'2.4 Détecteur(log)'!$I$11:$I$15</c:f>
              <c:numCache>
                <c:formatCode>0.000</c:formatCode>
                <c:ptCount val="5"/>
                <c:pt idx="0">
                  <c:v>0.04</c:v>
                </c:pt>
                <c:pt idx="1">
                  <c:v>0.02</c:v>
                </c:pt>
                <c:pt idx="2">
                  <c:v>0.01</c:v>
                </c:pt>
                <c:pt idx="3">
                  <c:v>5.0000000000000001E-3</c:v>
                </c:pt>
                <c:pt idx="4">
                  <c:v>3.3333333333333335E-3</c:v>
                </c:pt>
              </c:numCache>
            </c:numRef>
          </c:xVal>
          <c:yVal>
            <c:numRef>
              <c:f>'2.4 Détecteur(log)'!$H$11:$H$15</c:f>
              <c:numCache>
                <c:formatCode>0</c:formatCode>
                <c:ptCount val="5"/>
                <c:pt idx="0">
                  <c:v>36</c:v>
                </c:pt>
                <c:pt idx="1">
                  <c:v>121</c:v>
                </c:pt>
                <c:pt idx="2">
                  <c:v>169</c:v>
                </c:pt>
                <c:pt idx="3">
                  <c:v>182.25</c:v>
                </c:pt>
                <c:pt idx="4">
                  <c:v>196</c:v>
                </c:pt>
              </c:numCache>
            </c:numRef>
          </c:yVal>
          <c:smooth val="0"/>
          <c:extLst>
            <c:ext xmlns:c16="http://schemas.microsoft.com/office/drawing/2014/chart" uri="{C3380CC4-5D6E-409C-BE32-E72D297353CC}">
              <c16:uniqueId val="{00000001-32E9-410A-BB40-BE3349009A53}"/>
            </c:ext>
          </c:extLst>
        </c:ser>
        <c:dLbls>
          <c:showLegendKey val="0"/>
          <c:showVal val="0"/>
          <c:showCatName val="0"/>
          <c:showSerName val="0"/>
          <c:showPercent val="0"/>
          <c:showBubbleSize val="0"/>
        </c:dLbls>
        <c:axId val="121487360"/>
        <c:axId val="121489280"/>
      </c:scatterChart>
      <c:valAx>
        <c:axId val="1214873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1/mAs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489280"/>
        <c:crosses val="autoZero"/>
        <c:crossBetween val="midCat"/>
      </c:valAx>
      <c:valAx>
        <c:axId val="12148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A"/>
                  <a:t>C</a:t>
                </a:r>
                <a:r>
                  <a:rPr lang="fr-CA" baseline="30000"/>
                  <a:t>2</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487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sz="900">
                <a:latin typeface="Arial" panose="020B0604020202020204" pitchFamily="34" charset="0"/>
                <a:cs typeface="Arial" panose="020B0604020202020204" pitchFamily="34" charset="0"/>
              </a:rPr>
              <a:t>IE (1/mAs)</a:t>
            </a:r>
          </a:p>
        </c:rich>
      </c:tx>
      <c:layout>
        <c:manualLayout>
          <c:xMode val="edge"/>
          <c:yMode val="edge"/>
          <c:x val="0.40070421514455445"/>
          <c:y val="2.162718145034944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1060510931698531"/>
          <c:y val="0.1484481787756177"/>
          <c:w val="0.81479896408297803"/>
          <c:h val="0.63248220838066882"/>
        </c:manualLayout>
      </c:layout>
      <c:scatterChart>
        <c:scatterStyle val="lineMarker"/>
        <c:varyColors val="0"/>
        <c:ser>
          <c:idx val="0"/>
          <c:order val="0"/>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'2.4 Détecteur(log)'!$I$11:$I$15</c:f>
              <c:numCache>
                <c:formatCode>0.000</c:formatCode>
                <c:ptCount val="5"/>
                <c:pt idx="0">
                  <c:v>0.04</c:v>
                </c:pt>
                <c:pt idx="1">
                  <c:v>0.02</c:v>
                </c:pt>
                <c:pt idx="2">
                  <c:v>0.01</c:v>
                </c:pt>
                <c:pt idx="3">
                  <c:v>5.0000000000000001E-3</c:v>
                </c:pt>
                <c:pt idx="4">
                  <c:v>3.3333333333333335E-3</c:v>
                </c:pt>
              </c:numCache>
            </c:numRef>
          </c:xVal>
          <c:yVal>
            <c:numRef>
              <c:f>'2.4 Détecteur(log)'!$F$11:$F$15</c:f>
              <c:numCache>
                <c:formatCode>General</c:formatCode>
                <c:ptCount val="5"/>
                <c:pt idx="0">
                  <c:v>1</c:v>
                </c:pt>
                <c:pt idx="1">
                  <c:v>5</c:v>
                </c:pt>
                <c:pt idx="2">
                  <c:v>7</c:v>
                </c:pt>
                <c:pt idx="3">
                  <c:v>8</c:v>
                </c:pt>
                <c:pt idx="4">
                  <c:v>9</c:v>
                </c:pt>
              </c:numCache>
            </c:numRef>
          </c:yVal>
          <c:smooth val="0"/>
          <c:extLst>
            <c:ext xmlns:c16="http://schemas.microsoft.com/office/drawing/2014/chart" uri="{C3380CC4-5D6E-409C-BE32-E72D297353CC}">
              <c16:uniqueId val="{00000001-1BEA-4318-B556-D724B4EDDF6D}"/>
            </c:ext>
          </c:extLst>
        </c:ser>
        <c:dLbls>
          <c:showLegendKey val="0"/>
          <c:showVal val="0"/>
          <c:showCatName val="0"/>
          <c:showSerName val="0"/>
          <c:showPercent val="0"/>
          <c:showBubbleSize val="0"/>
        </c:dLbls>
        <c:axId val="128731776"/>
        <c:axId val="128733952"/>
      </c:scatterChart>
      <c:valAx>
        <c:axId val="1287317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1/mAs</a:t>
                </a:r>
              </a:p>
            </c:rich>
          </c:tx>
          <c:layout>
            <c:manualLayout>
              <c:xMode val="edge"/>
              <c:yMode val="edge"/>
              <c:x val="0.43900616483867744"/>
              <c:y val="0.890385951527866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733952"/>
        <c:crosses val="autoZero"/>
        <c:crossBetween val="midCat"/>
      </c:valAx>
      <c:valAx>
        <c:axId val="1287339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73177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fr-CA" sz="900">
                <a:latin typeface="Arial" panose="020B0604020202020204" pitchFamily="34" charset="0"/>
                <a:cs typeface="Arial" panose="020B0604020202020204" pitchFamily="34" charset="0"/>
              </a:rPr>
              <a:t>IE (log(mAs))</a:t>
            </a:r>
          </a:p>
        </c:rich>
      </c:tx>
      <c:layout>
        <c:manualLayout>
          <c:xMode val="edge"/>
          <c:yMode val="edge"/>
          <c:x val="0.40070421514455445"/>
          <c:y val="2.1627181450349441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title>
    <c:autoTitleDeleted val="0"/>
    <c:plotArea>
      <c:layout>
        <c:manualLayout>
          <c:layoutTarget val="inner"/>
          <c:xMode val="edge"/>
          <c:yMode val="edge"/>
          <c:x val="0.11060510931698531"/>
          <c:y val="0.1484481787756177"/>
          <c:w val="0.81479896408297803"/>
          <c:h val="0.63248220838066882"/>
        </c:manualLayout>
      </c:layout>
      <c:scatterChart>
        <c:scatterStyle val="lineMarker"/>
        <c:varyColors val="0"/>
        <c:ser>
          <c:idx val="0"/>
          <c:order val="0"/>
          <c:spPr>
            <a:ln w="25400" cap="rnd">
              <a:noFill/>
              <a:round/>
            </a:ln>
            <a:effectLst/>
          </c:spPr>
          <c:marker>
            <c:symbol val="circle"/>
            <c:size val="2"/>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'2.4 Détecteur(log)'!$J$11:$J$15</c:f>
              <c:numCache>
                <c:formatCode>0.00</c:formatCode>
                <c:ptCount val="5"/>
                <c:pt idx="0">
                  <c:v>1.3979400086720377</c:v>
                </c:pt>
                <c:pt idx="1">
                  <c:v>1.6989700043360187</c:v>
                </c:pt>
                <c:pt idx="2">
                  <c:v>2</c:v>
                </c:pt>
                <c:pt idx="3">
                  <c:v>2.3010299956639813</c:v>
                </c:pt>
                <c:pt idx="4">
                  <c:v>2.4771212547196626</c:v>
                </c:pt>
              </c:numCache>
            </c:numRef>
          </c:xVal>
          <c:yVal>
            <c:numRef>
              <c:f>'2.4 Détecteur(log)'!$F$11:$F$15</c:f>
              <c:numCache>
                <c:formatCode>General</c:formatCode>
                <c:ptCount val="5"/>
                <c:pt idx="0">
                  <c:v>1</c:v>
                </c:pt>
                <c:pt idx="1">
                  <c:v>5</c:v>
                </c:pt>
                <c:pt idx="2">
                  <c:v>7</c:v>
                </c:pt>
                <c:pt idx="3">
                  <c:v>8</c:v>
                </c:pt>
                <c:pt idx="4">
                  <c:v>9</c:v>
                </c:pt>
              </c:numCache>
            </c:numRef>
          </c:yVal>
          <c:smooth val="0"/>
          <c:extLst>
            <c:ext xmlns:c16="http://schemas.microsoft.com/office/drawing/2014/chart" uri="{C3380CC4-5D6E-409C-BE32-E72D297353CC}">
              <c16:uniqueId val="{00000001-FC32-40C2-ACCE-E33545BFA56B}"/>
            </c:ext>
          </c:extLst>
        </c:ser>
        <c:dLbls>
          <c:showLegendKey val="0"/>
          <c:showVal val="0"/>
          <c:showCatName val="0"/>
          <c:showSerName val="0"/>
          <c:showPercent val="0"/>
          <c:showBubbleSize val="0"/>
        </c:dLbls>
        <c:axId val="123150336"/>
        <c:axId val="123151872"/>
      </c:scatterChart>
      <c:valAx>
        <c:axId val="1231503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log(mAs)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51872"/>
        <c:crosses val="autoZero"/>
        <c:crossBetween val="midCat"/>
      </c:valAx>
      <c:valAx>
        <c:axId val="123151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3150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4734286303512759"/>
          <c:y val="0.12796413689456684"/>
          <c:w val="0.80190568353510694"/>
          <c:h val="0.62595397195762092"/>
        </c:manualLayout>
      </c:layout>
      <c:scatterChart>
        <c:scatterStyle val="lineMarker"/>
        <c:varyColors val="0"/>
        <c:ser>
          <c:idx val="4"/>
          <c:order val="0"/>
          <c:tx>
            <c:v>G-paral</c:v>
          </c:tx>
          <c:spPr>
            <a:ln w="19050" cap="rnd">
              <a:solidFill>
                <a:schemeClr val="accent5"/>
              </a:solidFill>
              <a:round/>
            </a:ln>
            <a:effectLst/>
          </c:spPr>
          <c:marker>
            <c:symbol val="circle"/>
            <c:size val="5"/>
            <c:spPr>
              <a:solidFill>
                <a:schemeClr val="accent5"/>
              </a:solidFill>
              <a:ln w="9525">
                <a:solidFill>
                  <a:schemeClr val="accent5"/>
                </a:solidFill>
              </a:ln>
              <a:effectLst/>
            </c:spPr>
          </c:marker>
          <c:dLbls>
            <c:delete val="1"/>
          </c:dLbls>
          <c:trendline>
            <c:spPr>
              <a:ln w="19050" cap="rnd">
                <a:solidFill>
                  <a:schemeClr val="accent5"/>
                </a:solidFill>
                <a:prstDash val="sysDot"/>
              </a:ln>
              <a:effectLst/>
            </c:spPr>
            <c:trendlineType val="linear"/>
            <c:dispRSqr val="1"/>
            <c:dispEq val="1"/>
            <c:trendlineLbl>
              <c:layout>
                <c:manualLayout>
                  <c:x val="-0.42545586911125161"/>
                  <c:y val="-2.4845990030423568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trendline>
            <c:spPr>
              <a:ln w="19050" cap="rnd">
                <a:solidFill>
                  <a:schemeClr val="accent5"/>
                </a:solidFill>
                <a:prstDash val="sysDot"/>
              </a:ln>
              <a:effectLst/>
            </c:spPr>
            <c:trendlineType val="power"/>
            <c:dispRSqr val="1"/>
            <c:dispEq val="1"/>
            <c:trendlineLbl>
              <c:layout>
                <c:manualLayout>
                  <c:x val="2.2157459809711285E-2"/>
                  <c:y val="-0.25979995272213308"/>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'2.8 FTM-2.9 stab'!$D$11:$D$14</c:f>
              <c:numCache>
                <c:formatCode>0.0</c:formatCode>
                <c:ptCount val="4"/>
                <c:pt idx="0">
                  <c:v>74</c:v>
                </c:pt>
                <c:pt idx="1">
                  <c:v>53.444444444444443</c:v>
                </c:pt>
                <c:pt idx="2">
                  <c:v>32.888888888888886</c:v>
                </c:pt>
                <c:pt idx="3">
                  <c:v>3.6999999999999997</c:v>
                </c:pt>
              </c:numCache>
            </c:numRef>
          </c:xVal>
          <c:yVal>
            <c:numRef>
              <c:f>'2.8 FTM-2.9 stab'!$A$11:$A$14</c:f>
              <c:numCache>
                <c:formatCode>General</c:formatCode>
                <c:ptCount val="4"/>
                <c:pt idx="0">
                  <c:v>2</c:v>
                </c:pt>
                <c:pt idx="1">
                  <c:v>4</c:v>
                </c:pt>
                <c:pt idx="2">
                  <c:v>6</c:v>
                </c:pt>
                <c:pt idx="3">
                  <c:v>8</c:v>
                </c:pt>
              </c:numCache>
            </c:numRef>
          </c:yVal>
          <c:smooth val="0"/>
          <c:extLst>
            <c:ext xmlns:c16="http://schemas.microsoft.com/office/drawing/2014/chart" uri="{C3380CC4-5D6E-409C-BE32-E72D297353CC}">
              <c16:uniqueId val="{00000000-761A-4828-9C75-4964D41662BA}"/>
            </c:ext>
          </c:extLst>
        </c:ser>
        <c:dLbls>
          <c:dLblPos val="t"/>
          <c:showLegendKey val="0"/>
          <c:showVal val="1"/>
          <c:showCatName val="0"/>
          <c:showSerName val="0"/>
          <c:showPercent val="0"/>
          <c:showBubbleSize val="0"/>
        </c:dLbls>
        <c:axId val="121715328"/>
        <c:axId val="121721600"/>
      </c:scatterChart>
      <c:valAx>
        <c:axId val="121715328"/>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FTM%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721600"/>
        <c:crosses val="autoZero"/>
        <c:crossBetween val="midCat"/>
        <c:majorUnit val="10"/>
        <c:minorUnit val="5"/>
      </c:valAx>
      <c:valAx>
        <c:axId val="121721600"/>
        <c:scaling>
          <c:orientation val="minMax"/>
          <c:max val="1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715328"/>
        <c:crossesAt val="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A"/>
              <a:t>correction interpolation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2700" cap="rnd">
                <a:solidFill>
                  <a:schemeClr val="accent1"/>
                </a:solidFill>
                <a:prstDash val="solid"/>
              </a:ln>
              <a:effectLst/>
            </c:spPr>
            <c:trendlineType val="linear"/>
            <c:dispRSqr val="0"/>
            <c:dispEq val="1"/>
            <c:trendlineLbl>
              <c:layout>
                <c:manualLayout>
                  <c:x val="-0.41755708661417323"/>
                  <c:y val="5.634113444152814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CDA_Kerma_DGM'!$N$90:$T$90</c:f>
              <c:numCache>
                <c:formatCode>0.000</c:formatCode>
                <c:ptCount val="7"/>
                <c:pt idx="0">
                  <c:v>0.378</c:v>
                </c:pt>
                <c:pt idx="1">
                  <c:v>0.42099999999999999</c:v>
                </c:pt>
                <c:pt idx="2">
                  <c:v>0.46</c:v>
                </c:pt>
                <c:pt idx="3">
                  <c:v>0.496</c:v>
                </c:pt>
                <c:pt idx="4">
                  <c:v>0.52900000000000003</c:v>
                </c:pt>
                <c:pt idx="5">
                  <c:v>0.55900000000000005</c:v>
                </c:pt>
                <c:pt idx="6">
                  <c:v>0.58499999999999996</c:v>
                </c:pt>
              </c:numCache>
            </c:numRef>
          </c:yVal>
          <c:smooth val="0"/>
          <c:extLst>
            <c:ext xmlns:c16="http://schemas.microsoft.com/office/drawing/2014/chart" uri="{C3380CC4-5D6E-409C-BE32-E72D297353CC}">
              <c16:uniqueId val="{00000000-9109-4CB5-819C-5BD610E72D87}"/>
            </c:ext>
          </c:extLst>
        </c:ser>
        <c:ser>
          <c:idx val="1"/>
          <c:order val="1"/>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0"/>
            <c:dispEq val="1"/>
            <c:trendlineLbl>
              <c:layout>
                <c:manualLayout>
                  <c:x val="-0.40766819772528434"/>
                  <c:y val="1.314158646835803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CDA_Kerma_DGM'!$N$96:$T$96</c:f>
              <c:numCache>
                <c:formatCode>0.000</c:formatCode>
                <c:ptCount val="7"/>
                <c:pt idx="0">
                  <c:v>0.155</c:v>
                </c:pt>
                <c:pt idx="1">
                  <c:v>0.17699999999999999</c:v>
                </c:pt>
                <c:pt idx="2">
                  <c:v>0.19800000000000001</c:v>
                </c:pt>
                <c:pt idx="3">
                  <c:v>0.22</c:v>
                </c:pt>
                <c:pt idx="4">
                  <c:v>0.245</c:v>
                </c:pt>
                <c:pt idx="5">
                  <c:v>0.27200000000000002</c:v>
                </c:pt>
                <c:pt idx="6">
                  <c:v>0.29499999999999998</c:v>
                </c:pt>
              </c:numCache>
            </c:numRef>
          </c:yVal>
          <c:smooth val="0"/>
          <c:extLst>
            <c:ext xmlns:c16="http://schemas.microsoft.com/office/drawing/2014/chart" uri="{C3380CC4-5D6E-409C-BE32-E72D297353CC}">
              <c16:uniqueId val="{00000001-9109-4CB5-819C-5BD610E72D87}"/>
            </c:ext>
          </c:extLst>
        </c:ser>
        <c:ser>
          <c:idx val="2"/>
          <c:order val="2"/>
          <c:spPr>
            <a:ln w="25400" cap="rnd">
              <a:noFill/>
              <a:round/>
            </a:ln>
            <a:effectLst/>
          </c:spPr>
          <c:marker>
            <c:symbol val="circle"/>
            <c:size val="5"/>
            <c:spPr>
              <a:solidFill>
                <a:schemeClr val="accent3"/>
              </a:solidFill>
              <a:ln w="9525">
                <a:solidFill>
                  <a:schemeClr val="accent3"/>
                </a:solidFill>
              </a:ln>
              <a:effectLst/>
            </c:spPr>
          </c:marker>
          <c:trendline>
            <c:spPr>
              <a:ln w="19050" cap="rnd">
                <a:solidFill>
                  <a:schemeClr val="accent3"/>
                </a:solidFill>
                <a:prstDash val="sysDot"/>
              </a:ln>
              <a:effectLst/>
            </c:spPr>
            <c:trendlineType val="linear"/>
            <c:dispRSqr val="0"/>
            <c:dispEq val="0"/>
          </c:trendline>
          <c:trendline>
            <c:spPr>
              <a:ln w="19050" cap="rnd">
                <a:solidFill>
                  <a:schemeClr val="accent3"/>
                </a:solidFill>
                <a:prstDash val="sysDot"/>
              </a:ln>
              <a:effectLst/>
            </c:spPr>
            <c:trendlineType val="linear"/>
            <c:dispRSqr val="0"/>
            <c:dispEq val="1"/>
            <c:trendlineLbl>
              <c:layout>
                <c:manualLayout>
                  <c:x val="-0.39423775153105861"/>
                  <c:y val="3.648221055701370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CDA_Kerma_DGM'!$N$102:$T$102</c:f>
              <c:numCache>
                <c:formatCode>0.000</c:formatCode>
                <c:ptCount val="7"/>
                <c:pt idx="0">
                  <c:v>8.5999999999999993E-2</c:v>
                </c:pt>
                <c:pt idx="1">
                  <c:v>9.8000000000000004E-2</c:v>
                </c:pt>
                <c:pt idx="2">
                  <c:v>0.111</c:v>
                </c:pt>
                <c:pt idx="3">
                  <c:v>0.123</c:v>
                </c:pt>
                <c:pt idx="4">
                  <c:v>0.13600000000000001</c:v>
                </c:pt>
                <c:pt idx="5">
                  <c:v>0.154</c:v>
                </c:pt>
                <c:pt idx="6">
                  <c:v>0.17199999999999999</c:v>
                </c:pt>
              </c:numCache>
            </c:numRef>
          </c:yVal>
          <c:smooth val="0"/>
          <c:extLst>
            <c:ext xmlns:c16="http://schemas.microsoft.com/office/drawing/2014/chart" uri="{C3380CC4-5D6E-409C-BE32-E72D297353CC}">
              <c16:uniqueId val="{00000002-9109-4CB5-819C-5BD610E72D87}"/>
            </c:ext>
          </c:extLst>
        </c:ser>
        <c:ser>
          <c:idx val="3"/>
          <c:order val="3"/>
          <c:tx>
            <c:v>c20</c:v>
          </c:tx>
          <c:spPr>
            <a:ln w="25400" cap="rnd">
              <a:noFill/>
              <a:round/>
            </a:ln>
            <a:effectLst/>
          </c:spPr>
          <c:marker>
            <c:symbol val="circle"/>
            <c:size val="5"/>
            <c:spPr>
              <a:solidFill>
                <a:schemeClr val="accent4"/>
              </a:solidFill>
              <a:ln w="9525">
                <a:solidFill>
                  <a:schemeClr val="accent4"/>
                </a:solidFill>
              </a:ln>
              <a:effectLst/>
            </c:spPr>
          </c:marker>
          <c:trendline>
            <c:spPr>
              <a:ln w="19050" cap="rnd">
                <a:solidFill>
                  <a:schemeClr val="accent4"/>
                </a:solidFill>
                <a:prstDash val="sysDot"/>
              </a:ln>
              <a:effectLst/>
            </c:spPr>
            <c:trendlineType val="linear"/>
            <c:dispRSqr val="0"/>
            <c:dispEq val="0"/>
          </c:trendline>
          <c:trendline>
            <c:spPr>
              <a:ln w="19050" cap="rnd">
                <a:solidFill>
                  <a:schemeClr val="accent4"/>
                </a:solidFill>
                <a:prstDash val="sysDot"/>
              </a:ln>
              <a:effectLst/>
            </c:spPr>
            <c:trendlineType val="linear"/>
            <c:dispRSqr val="0"/>
            <c:dispEq val="1"/>
            <c:trendlineLbl>
              <c:layout>
                <c:manualLayout>
                  <c:x val="-0.39222375328083992"/>
                  <c:y val="7.3063939924176147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CDA_Kerma_DGM'!$N$91:$T$91</c:f>
              <c:numCache>
                <c:formatCode>0.000</c:formatCode>
                <c:ptCount val="7"/>
                <c:pt idx="0">
                  <c:v>0.88900000000000001</c:v>
                </c:pt>
                <c:pt idx="1">
                  <c:v>0.89500000000000002</c:v>
                </c:pt>
                <c:pt idx="2">
                  <c:v>0.90300000000000002</c:v>
                </c:pt>
                <c:pt idx="3">
                  <c:v>0.90800000000000003</c:v>
                </c:pt>
                <c:pt idx="4">
                  <c:v>0.91200000000000003</c:v>
                </c:pt>
                <c:pt idx="5">
                  <c:v>0.91700000000000004</c:v>
                </c:pt>
                <c:pt idx="6">
                  <c:v>0.92100000000000004</c:v>
                </c:pt>
              </c:numCache>
            </c:numRef>
          </c:yVal>
          <c:smooth val="0"/>
          <c:extLst>
            <c:ext xmlns:c16="http://schemas.microsoft.com/office/drawing/2014/chart" uri="{C3380CC4-5D6E-409C-BE32-E72D297353CC}">
              <c16:uniqueId val="{00000003-9109-4CB5-819C-5BD610E72D87}"/>
            </c:ext>
          </c:extLst>
        </c:ser>
        <c:ser>
          <c:idx val="4"/>
          <c:order val="4"/>
          <c:tx>
            <c:v>c45</c:v>
          </c:tx>
          <c:spPr>
            <a:ln w="25400"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0"/>
            <c:dispEq val="0"/>
          </c:trendline>
          <c:trendline>
            <c:spPr>
              <a:ln w="19050" cap="rnd">
                <a:solidFill>
                  <a:schemeClr val="accent5"/>
                </a:solidFill>
                <a:prstDash val="sysDot"/>
              </a:ln>
              <a:effectLst/>
            </c:spPr>
            <c:trendlineType val="linear"/>
            <c:dispRSqr val="0"/>
            <c:dispEq val="1"/>
            <c:trendlineLbl>
              <c:layout>
                <c:manualLayout>
                  <c:x val="-0.40990441819772527"/>
                  <c:y val="2.86439195100612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CDA_Kerma_DGM'!$N$95:$T$95</c:f>
              <c:numCache>
                <c:formatCode>0.000</c:formatCode>
                <c:ptCount val="7"/>
                <c:pt idx="0">
                  <c:v>1.0429999999999999</c:v>
                </c:pt>
                <c:pt idx="1">
                  <c:v>1.0409999999999999</c:v>
                </c:pt>
                <c:pt idx="2">
                  <c:v>1.04</c:v>
                </c:pt>
                <c:pt idx="3">
                  <c:v>1.0389999999999999</c:v>
                </c:pt>
                <c:pt idx="4">
                  <c:v>1.0369999999999999</c:v>
                </c:pt>
                <c:pt idx="5">
                  <c:v>1.0349999999999999</c:v>
                </c:pt>
                <c:pt idx="6">
                  <c:v>1.034</c:v>
                </c:pt>
              </c:numCache>
            </c:numRef>
          </c:yVal>
          <c:smooth val="0"/>
          <c:extLst>
            <c:ext xmlns:c16="http://schemas.microsoft.com/office/drawing/2014/chart" uri="{C3380CC4-5D6E-409C-BE32-E72D297353CC}">
              <c16:uniqueId val="{00000004-9109-4CB5-819C-5BD610E72D87}"/>
            </c:ext>
          </c:extLst>
        </c:ser>
        <c:ser>
          <c:idx val="5"/>
          <c:order val="5"/>
          <c:tx>
            <c:v>c70</c:v>
          </c:tx>
          <c:spPr>
            <a:ln w="2540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dispRSqr val="0"/>
            <c:dispEq val="0"/>
          </c:trendline>
          <c:trendline>
            <c:spPr>
              <a:ln w="19050" cap="rnd">
                <a:solidFill>
                  <a:schemeClr val="accent6"/>
                </a:solidFill>
                <a:prstDash val="sysDot"/>
              </a:ln>
              <a:effectLst/>
            </c:spPr>
            <c:trendlineType val="linear"/>
            <c:dispRSqr val="0"/>
            <c:dispEq val="0"/>
          </c:trendline>
          <c:trendline>
            <c:spPr>
              <a:ln w="19050" cap="rnd">
                <a:solidFill>
                  <a:schemeClr val="accent6"/>
                </a:solidFill>
                <a:prstDash val="sysDot"/>
              </a:ln>
              <a:effectLst/>
            </c:spPr>
            <c:trendlineType val="linear"/>
            <c:dispRSqr val="0"/>
            <c:dispEq val="1"/>
            <c:trendlineLbl>
              <c:layout>
                <c:manualLayout>
                  <c:x val="-0.39012664041994749"/>
                  <c:y val="6.1956838728492274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'2.10-11-12 CDA_Kerma_DGM'!$N$89:$T$89</c:f>
              <c:numCache>
                <c:formatCode>0.00</c:formatCode>
                <c:ptCount val="7"/>
                <c:pt idx="0">
                  <c:v>0.3</c:v>
                </c:pt>
                <c:pt idx="1">
                  <c:v>0.35</c:v>
                </c:pt>
                <c:pt idx="2">
                  <c:v>0.4</c:v>
                </c:pt>
                <c:pt idx="3">
                  <c:v>0.45</c:v>
                </c:pt>
                <c:pt idx="4">
                  <c:v>0.5</c:v>
                </c:pt>
                <c:pt idx="5">
                  <c:v>0.55000000000000004</c:v>
                </c:pt>
                <c:pt idx="6">
                  <c:v>0.6</c:v>
                </c:pt>
              </c:numCache>
            </c:numRef>
          </c:xVal>
          <c:yVal>
            <c:numRef>
              <c:f>'2.10-11-12 CDA_Kerma_DGM'!$N$103:$T$103</c:f>
              <c:numCache>
                <c:formatCode>0.000</c:formatCode>
                <c:ptCount val="7"/>
                <c:pt idx="0">
                  <c:v>1.2989999999999999</c:v>
                </c:pt>
                <c:pt idx="1">
                  <c:v>1.292</c:v>
                </c:pt>
                <c:pt idx="2">
                  <c:v>1.282</c:v>
                </c:pt>
                <c:pt idx="3">
                  <c:v>1.2749999999999999</c:v>
                </c:pt>
                <c:pt idx="4">
                  <c:v>1.27</c:v>
                </c:pt>
                <c:pt idx="5">
                  <c:v>1.26</c:v>
                </c:pt>
                <c:pt idx="6">
                  <c:v>1.2490000000000001</c:v>
                </c:pt>
              </c:numCache>
            </c:numRef>
          </c:yVal>
          <c:smooth val="0"/>
          <c:extLst>
            <c:ext xmlns:c16="http://schemas.microsoft.com/office/drawing/2014/chart" uri="{C3380CC4-5D6E-409C-BE32-E72D297353CC}">
              <c16:uniqueId val="{00000005-9109-4CB5-819C-5BD610E72D87}"/>
            </c:ext>
          </c:extLst>
        </c:ser>
        <c:dLbls>
          <c:showLegendKey val="0"/>
          <c:showVal val="0"/>
          <c:showCatName val="0"/>
          <c:showSerName val="0"/>
          <c:showPercent val="0"/>
          <c:showBubbleSize val="0"/>
        </c:dLbls>
        <c:axId val="131917312"/>
        <c:axId val="131918848"/>
      </c:scatterChart>
      <c:valAx>
        <c:axId val="131917312"/>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18848"/>
        <c:crosses val="autoZero"/>
        <c:crossBetween val="midCat"/>
      </c:valAx>
      <c:valAx>
        <c:axId val="131918848"/>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173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949256342957"/>
          <c:y val="5.1764630772504781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cMON'!$N$32:$N$48</c:f>
              <c:numCache>
                <c:formatCode>0.0000</c:formatCode>
                <c:ptCount val="17"/>
                <c:pt idx="0">
                  <c:v>0.46009389671361517</c:v>
                </c:pt>
                <c:pt idx="1">
                  <c:v>0.68341708542713564</c:v>
                </c:pt>
                <c:pt idx="2">
                  <c:v>0.55088195386702854</c:v>
                </c:pt>
                <c:pt idx="3">
                  <c:v>0.4752635847526358</c:v>
                </c:pt>
                <c:pt idx="4">
                  <c:v>0.41289651586063442</c:v>
                </c:pt>
                <c:pt idx="5">
                  <c:v>0.3776223776223776</c:v>
                </c:pt>
                <c:pt idx="6">
                  <c:v>0.3</c:v>
                </c:pt>
                <c:pt idx="7">
                  <c:v>0.383128295254833</c:v>
                </c:pt>
                <c:pt idx="8">
                  <c:v>0.31761786600496289</c:v>
                </c:pt>
                <c:pt idx="9">
                  <c:v>0.30490018148820319</c:v>
                </c:pt>
                <c:pt idx="10">
                  <c:v>0.28956228956228958</c:v>
                </c:pt>
                <c:pt idx="11">
                  <c:v>0.29145728643216079</c:v>
                </c:pt>
                <c:pt idx="12">
                  <c:v>0.27924528301886792</c:v>
                </c:pt>
                <c:pt idx="13">
                  <c:v>0.27920227920227919</c:v>
                </c:pt>
                <c:pt idx="14">
                  <c:v>0.27213822894168466</c:v>
                </c:pt>
                <c:pt idx="15">
                  <c:v>0.26688632619439867</c:v>
                </c:pt>
                <c:pt idx="16">
                  <c:v>0.26700251889168763</c:v>
                </c:pt>
              </c:numCache>
            </c:numRef>
          </c:yVal>
          <c:smooth val="1"/>
          <c:extLst>
            <c:ext xmlns:c16="http://schemas.microsoft.com/office/drawing/2014/chart" uri="{C3380CC4-5D6E-409C-BE32-E72D297353CC}">
              <c16:uniqueId val="{00000000-18FF-4EA3-ADCE-E3323F0EF0D3}"/>
            </c:ext>
          </c:extLst>
        </c:ser>
        <c:ser>
          <c:idx val="1"/>
          <c:order val="1"/>
          <c:tx>
            <c:v>20%</c:v>
          </c:tx>
          <c:spPr>
            <a:ln w="6350" cap="rnd">
              <a:solidFill>
                <a:schemeClr val="accent2">
                  <a:lumMod val="75000"/>
                </a:schemeClr>
              </a:solidFill>
              <a:round/>
            </a:ln>
            <a:effectLst/>
          </c:spPr>
          <c:marker>
            <c:symbol val="none"/>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cMON'!$O$32:$O$48</c:f>
              <c:numCache>
                <c:formatCode>0.000</c:formatCode>
                <c:ptCount val="17"/>
                <c:pt idx="0">
                  <c:v>0.93631955141762369</c:v>
                </c:pt>
                <c:pt idx="1">
                  <c:v>0.73625113764163941</c:v>
                </c:pt>
                <c:pt idx="2">
                  <c:v>0.61491872699124628</c:v>
                </c:pt>
                <c:pt idx="3">
                  <c:v>0.53462469946453806</c:v>
                </c:pt>
                <c:pt idx="4">
                  <c:v>0.47830256449286751</c:v>
                </c:pt>
                <c:pt idx="5">
                  <c:v>0.43710956397439299</c:v>
                </c:pt>
                <c:pt idx="6">
                  <c:v>0.40603068701647221</c:v>
                </c:pt>
                <c:pt idx="7">
                  <c:v>0.38202116573036438</c:v>
                </c:pt>
                <c:pt idx="8">
                  <c:v>0.36313127093782765</c:v>
                </c:pt>
                <c:pt idx="9">
                  <c:v>0.34805784681650187</c:v>
                </c:pt>
                <c:pt idx="10">
                  <c:v>0.33589866874804369</c:v>
                </c:pt>
                <c:pt idx="11">
                  <c:v>0.3260103880768222</c:v>
                </c:pt>
                <c:pt idx="12">
                  <c:v>0.31792259093028735</c:v>
                </c:pt>
                <c:pt idx="13">
                  <c:v>0.31128378643486221</c:v>
                </c:pt>
                <c:pt idx="14">
                  <c:v>0.30582633645717811</c:v>
                </c:pt>
                <c:pt idx="15">
                  <c:v>0.30134303182475008</c:v>
                </c:pt>
                <c:pt idx="16">
                  <c:v>0.29756843968094138</c:v>
                </c:pt>
              </c:numCache>
            </c:numRef>
          </c:yVal>
          <c:smooth val="1"/>
          <c:extLst>
            <c:ext xmlns:c16="http://schemas.microsoft.com/office/drawing/2014/chart" uri="{C3380CC4-5D6E-409C-BE32-E72D297353CC}">
              <c16:uniqueId val="{00000001-18FF-4EA3-ADCE-E3323F0EF0D3}"/>
            </c:ext>
          </c:extLst>
        </c:ser>
        <c:ser>
          <c:idx val="2"/>
          <c:order val="2"/>
          <c:tx>
            <c:v>10%</c:v>
          </c:tx>
          <c:spPr>
            <a:ln w="6350" cap="rnd">
              <a:solidFill>
                <a:schemeClr val="bg2">
                  <a:lumMod val="75000"/>
                </a:schemeClr>
              </a:solidFill>
              <a:round/>
            </a:ln>
            <a:effectLst/>
          </c:spPr>
          <c:marker>
            <c:symbol val="none"/>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cMON'!$P$32:$P$48</c:f>
              <c:numCache>
                <c:formatCode>0.000</c:formatCode>
                <c:ptCount val="17"/>
                <c:pt idx="0">
                  <c:v>0.85829292213282182</c:v>
                </c:pt>
                <c:pt idx="1">
                  <c:v>0.67489687617150285</c:v>
                </c:pt>
                <c:pt idx="2">
                  <c:v>0.56367549974197584</c:v>
                </c:pt>
                <c:pt idx="3">
                  <c:v>0.49007264117582661</c:v>
                </c:pt>
                <c:pt idx="4">
                  <c:v>0.43844401745179529</c:v>
                </c:pt>
                <c:pt idx="5">
                  <c:v>0.40068376697652697</c:v>
                </c:pt>
                <c:pt idx="6">
                  <c:v>0.37219479643176623</c:v>
                </c:pt>
                <c:pt idx="7">
                  <c:v>0.35018606858616741</c:v>
                </c:pt>
                <c:pt idx="8">
                  <c:v>0.33287033169300873</c:v>
                </c:pt>
                <c:pt idx="9">
                  <c:v>0.31905302624846005</c:v>
                </c:pt>
                <c:pt idx="10">
                  <c:v>0.30790711301904011</c:v>
                </c:pt>
                <c:pt idx="11">
                  <c:v>0.29884285573708708</c:v>
                </c:pt>
                <c:pt idx="12">
                  <c:v>0.29142904168609673</c:v>
                </c:pt>
                <c:pt idx="13">
                  <c:v>0.28534347089862372</c:v>
                </c:pt>
                <c:pt idx="14">
                  <c:v>0.28034080841907999</c:v>
                </c:pt>
                <c:pt idx="15">
                  <c:v>0.27623111250602095</c:v>
                </c:pt>
                <c:pt idx="16">
                  <c:v>0.27277106970752962</c:v>
                </c:pt>
              </c:numCache>
            </c:numRef>
          </c:yVal>
          <c:smooth val="1"/>
          <c:extLst>
            <c:ext xmlns:c16="http://schemas.microsoft.com/office/drawing/2014/chart" uri="{C3380CC4-5D6E-409C-BE32-E72D297353CC}">
              <c16:uniqueId val="{00000002-18FF-4EA3-ADCE-E3323F0EF0D3}"/>
            </c:ext>
          </c:extLst>
        </c:ser>
        <c:ser>
          <c:idx val="3"/>
          <c:order val="3"/>
          <c:tx>
            <c:v>Dicom</c:v>
          </c:tx>
          <c:spPr>
            <a:ln w="9525" cap="rnd">
              <a:solidFill>
                <a:schemeClr val="tx1">
                  <a:lumMod val="75000"/>
                  <a:lumOff val="25000"/>
                </a:schemeClr>
              </a:solidFill>
              <a:round/>
            </a:ln>
            <a:effectLst/>
          </c:spPr>
          <c:marker>
            <c:symbol val="none"/>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cMON'!$Q$32:$Q$48</c:f>
              <c:numCache>
                <c:formatCode>0.0000</c:formatCode>
                <c:ptCount val="17"/>
                <c:pt idx="0">
                  <c:v>0.78026629284801974</c:v>
                </c:pt>
                <c:pt idx="1">
                  <c:v>0.61354261470136617</c:v>
                </c:pt>
                <c:pt idx="2">
                  <c:v>0.51243227249270529</c:v>
                </c:pt>
                <c:pt idx="3">
                  <c:v>0.44552058288711505</c:v>
                </c:pt>
                <c:pt idx="4">
                  <c:v>0.39858547041072295</c:v>
                </c:pt>
                <c:pt idx="5">
                  <c:v>0.36425796997866083</c:v>
                </c:pt>
                <c:pt idx="6">
                  <c:v>0.33835890584706019</c:v>
                </c:pt>
                <c:pt idx="7">
                  <c:v>0.31835097144197033</c:v>
                </c:pt>
                <c:pt idx="8">
                  <c:v>0.30260939244818974</c:v>
                </c:pt>
                <c:pt idx="9">
                  <c:v>0.29004820568041823</c:v>
                </c:pt>
                <c:pt idx="10">
                  <c:v>0.27991555729003642</c:v>
                </c:pt>
                <c:pt idx="11">
                  <c:v>0.27167532339735184</c:v>
                </c:pt>
                <c:pt idx="12">
                  <c:v>0.26493549244190612</c:v>
                </c:pt>
                <c:pt idx="13">
                  <c:v>0.25940315536238517</c:v>
                </c:pt>
                <c:pt idx="14">
                  <c:v>0.25485528038098176</c:v>
                </c:pt>
                <c:pt idx="15">
                  <c:v>0.25111919318729176</c:v>
                </c:pt>
                <c:pt idx="16">
                  <c:v>0.24797369973411781</c:v>
                </c:pt>
              </c:numCache>
            </c:numRef>
          </c:yVal>
          <c:smooth val="1"/>
          <c:extLst>
            <c:ext xmlns:c16="http://schemas.microsoft.com/office/drawing/2014/chart" uri="{C3380CC4-5D6E-409C-BE32-E72D297353CC}">
              <c16:uniqueId val="{00000003-18FF-4EA3-ADCE-E3323F0EF0D3}"/>
            </c:ext>
          </c:extLst>
        </c:ser>
        <c:ser>
          <c:idx val="4"/>
          <c:order val="4"/>
          <c:tx>
            <c:v>-10%</c:v>
          </c:tx>
          <c:spPr>
            <a:ln w="6350" cap="rnd">
              <a:solidFill>
                <a:schemeClr val="bg1">
                  <a:lumMod val="65000"/>
                </a:schemeClr>
              </a:solidFill>
              <a:round/>
            </a:ln>
            <a:effectLst/>
          </c:spPr>
          <c:marker>
            <c:symbol val="none"/>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cMON'!$R$32:$R$48</c:f>
              <c:numCache>
                <c:formatCode>0.000</c:formatCode>
                <c:ptCount val="17"/>
                <c:pt idx="0">
                  <c:v>0.70223966356321776</c:v>
                </c:pt>
                <c:pt idx="1">
                  <c:v>0.55218835323122961</c:v>
                </c:pt>
                <c:pt idx="2">
                  <c:v>0.46118904524343479</c:v>
                </c:pt>
                <c:pt idx="3">
                  <c:v>0.40096852459840354</c:v>
                </c:pt>
                <c:pt idx="4">
                  <c:v>0.35872692336965067</c:v>
                </c:pt>
                <c:pt idx="5">
                  <c:v>0.32783217298079476</c:v>
                </c:pt>
                <c:pt idx="6">
                  <c:v>0.3045230152623542</c:v>
                </c:pt>
                <c:pt idx="7">
                  <c:v>0.28651587429777331</c:v>
                </c:pt>
                <c:pt idx="8">
                  <c:v>0.27234845320337076</c:v>
                </c:pt>
                <c:pt idx="9">
                  <c:v>0.2610433851123764</c:v>
                </c:pt>
                <c:pt idx="10">
                  <c:v>0.25192400156103278</c:v>
                </c:pt>
                <c:pt idx="11">
                  <c:v>0.24450779105761666</c:v>
                </c:pt>
                <c:pt idx="12">
                  <c:v>0.2384419431977155</c:v>
                </c:pt>
                <c:pt idx="13">
                  <c:v>0.23346283982614666</c:v>
                </c:pt>
                <c:pt idx="14">
                  <c:v>0.22936975234288359</c:v>
                </c:pt>
                <c:pt idx="15">
                  <c:v>0.22600727386856259</c:v>
                </c:pt>
                <c:pt idx="16">
                  <c:v>0.22317632976070603</c:v>
                </c:pt>
              </c:numCache>
            </c:numRef>
          </c:yVal>
          <c:smooth val="1"/>
          <c:extLst>
            <c:ext xmlns:c16="http://schemas.microsoft.com/office/drawing/2014/chart" uri="{C3380CC4-5D6E-409C-BE32-E72D297353CC}">
              <c16:uniqueId val="{00000004-18FF-4EA3-ADCE-E3323F0EF0D3}"/>
            </c:ext>
          </c:extLst>
        </c:ser>
        <c:ser>
          <c:idx val="5"/>
          <c:order val="5"/>
          <c:tx>
            <c:v>-20%</c:v>
          </c:tx>
          <c:spPr>
            <a:ln w="6350" cap="rnd">
              <a:solidFill>
                <a:schemeClr val="accent2">
                  <a:lumMod val="75000"/>
                </a:schemeClr>
              </a:solidFill>
              <a:round/>
            </a:ln>
            <a:effectLst/>
          </c:spPr>
          <c:marker>
            <c:symbol val="none"/>
          </c:marker>
          <c:xVal>
            <c:numRef>
              <c:f>'2.14 cMON'!$M$32:$M$48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cMON'!$S$32:$S$48</c:f>
              <c:numCache>
                <c:formatCode>0.000</c:formatCode>
                <c:ptCount val="17"/>
                <c:pt idx="0">
                  <c:v>0.62421303427841579</c:v>
                </c:pt>
                <c:pt idx="1">
                  <c:v>0.49083409176109294</c:v>
                </c:pt>
                <c:pt idx="2">
                  <c:v>0.40994581799416424</c:v>
                </c:pt>
                <c:pt idx="3">
                  <c:v>0.35641646630969204</c:v>
                </c:pt>
                <c:pt idx="4">
                  <c:v>0.3188683763285784</c:v>
                </c:pt>
                <c:pt idx="5">
                  <c:v>0.29140637598292868</c:v>
                </c:pt>
                <c:pt idx="6">
                  <c:v>0.27068712467764816</c:v>
                </c:pt>
                <c:pt idx="7">
                  <c:v>0.25468077715357629</c:v>
                </c:pt>
                <c:pt idx="8">
                  <c:v>0.2420875139585518</c:v>
                </c:pt>
                <c:pt idx="9">
                  <c:v>0.23203856454433458</c:v>
                </c:pt>
                <c:pt idx="10">
                  <c:v>0.22393244583202915</c:v>
                </c:pt>
                <c:pt idx="11">
                  <c:v>0.21734025871788148</c:v>
                </c:pt>
                <c:pt idx="12">
                  <c:v>0.21194839395352491</c:v>
                </c:pt>
                <c:pt idx="13">
                  <c:v>0.20752252428990814</c:v>
                </c:pt>
                <c:pt idx="14">
                  <c:v>0.20388422430478542</c:v>
                </c:pt>
                <c:pt idx="15">
                  <c:v>0.20089535454983343</c:v>
                </c:pt>
                <c:pt idx="16">
                  <c:v>0.19837895978729425</c:v>
                </c:pt>
              </c:numCache>
            </c:numRef>
          </c:yVal>
          <c:smooth val="1"/>
          <c:extLst>
            <c:ext xmlns:c16="http://schemas.microsoft.com/office/drawing/2014/chart" uri="{C3380CC4-5D6E-409C-BE32-E72D297353CC}">
              <c16:uniqueId val="{00000005-18FF-4EA3-ADCE-E3323F0EF0D3}"/>
            </c:ext>
          </c:extLst>
        </c:ser>
        <c:dLbls>
          <c:showLegendKey val="0"/>
          <c:showVal val="0"/>
          <c:showCatName val="0"/>
          <c:showSerName val="0"/>
          <c:showPercent val="0"/>
          <c:showBubbleSize val="0"/>
        </c:dLbls>
        <c:axId val="128681088"/>
        <c:axId val="128682624"/>
      </c:scatterChart>
      <c:valAx>
        <c:axId val="128681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2624"/>
        <c:crosses val="autoZero"/>
        <c:crossBetween val="midCat"/>
      </c:valAx>
      <c:valAx>
        <c:axId val="12868262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1088"/>
        <c:crosses val="autoZero"/>
        <c:crossBetween val="midCat"/>
      </c:valAx>
      <c:spPr>
        <a:noFill/>
        <a:ln>
          <a:noFill/>
        </a:ln>
        <a:effectLst/>
      </c:spPr>
    </c:plotArea>
    <c:legend>
      <c:legendPos val="r"/>
      <c:layout>
        <c:manualLayout>
          <c:xMode val="edge"/>
          <c:yMode val="edge"/>
          <c:x val="0.45090704286964128"/>
          <c:y val="8.7645391384900434E-2"/>
          <c:w val="0.38022747156605424"/>
          <c:h val="0.233230474569057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167078719381"/>
          <c:y val="5.1764705882352942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cMON'!$N$10:$N$26</c:f>
              <c:numCache>
                <c:formatCode>0.0000</c:formatCode>
                <c:ptCount val="17"/>
                <c:pt idx="0">
                  <c:v>0.50187265917602997</c:v>
                </c:pt>
                <c:pt idx="1">
                  <c:v>0.67460317460317465</c:v>
                </c:pt>
                <c:pt idx="2">
                  <c:v>0.55674518201284795</c:v>
                </c:pt>
                <c:pt idx="3">
                  <c:v>0.44834307992202732</c:v>
                </c:pt>
                <c:pt idx="4">
                  <c:v>0.45065789473684215</c:v>
                </c:pt>
                <c:pt idx="5">
                  <c:v>0.38482384823848237</c:v>
                </c:pt>
                <c:pt idx="6">
                  <c:v>0.30769230769230771</c:v>
                </c:pt>
                <c:pt idx="7">
                  <c:v>0.3783783783783784</c:v>
                </c:pt>
                <c:pt idx="8">
                  <c:v>0.30769230769230771</c:v>
                </c:pt>
                <c:pt idx="9">
                  <c:v>0.23269513991163471</c:v>
                </c:pt>
                <c:pt idx="10">
                  <c:v>0.28506787330316741</c:v>
                </c:pt>
                <c:pt idx="11">
                  <c:v>0.27350427350427353</c:v>
                </c:pt>
                <c:pt idx="12">
                  <c:v>0.26710097719869708</c:v>
                </c:pt>
                <c:pt idx="13">
                  <c:v>0.26433915211970077</c:v>
                </c:pt>
                <c:pt idx="14">
                  <c:v>0.26717557251908397</c:v>
                </c:pt>
                <c:pt idx="15">
                  <c:v>0.25550660792951541</c:v>
                </c:pt>
                <c:pt idx="16">
                  <c:v>0.26244343891402716</c:v>
                </c:pt>
              </c:numCache>
            </c:numRef>
          </c:yVal>
          <c:smooth val="1"/>
          <c:extLst>
            <c:ext xmlns:c16="http://schemas.microsoft.com/office/drawing/2014/chart" uri="{C3380CC4-5D6E-409C-BE32-E72D297353CC}">
              <c16:uniqueId val="{00000000-BB2B-467F-A48D-6C8AD67D3255}"/>
            </c:ext>
          </c:extLst>
        </c:ser>
        <c:ser>
          <c:idx val="1"/>
          <c:order val="1"/>
          <c:tx>
            <c:v>20%</c:v>
          </c:tx>
          <c:spPr>
            <a:ln w="6350" cap="rnd">
              <a:solidFill>
                <a:schemeClr val="accent2">
                  <a:lumMod val="75000"/>
                </a:schemeClr>
              </a:solidFill>
              <a:round/>
            </a:ln>
            <a:effectLst/>
          </c:spPr>
          <c:marker>
            <c:symbol val="none"/>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cMON'!$O$10:$O$26</c:f>
              <c:numCache>
                <c:formatCode>0.000</c:formatCode>
                <c:ptCount val="17"/>
                <c:pt idx="0">
                  <c:v>0.89234291006587241</c:v>
                </c:pt>
                <c:pt idx="1">
                  <c:v>0.71139746817768124</c:v>
                </c:pt>
                <c:pt idx="2">
                  <c:v>0.59952289689805716</c:v>
                </c:pt>
                <c:pt idx="3">
                  <c:v>0.5246276534053651</c:v>
                </c:pt>
                <c:pt idx="4">
                  <c:v>0.4716755642642117</c:v>
                </c:pt>
                <c:pt idx="5">
                  <c:v>0.43273100428749273</c:v>
                </c:pt>
                <c:pt idx="6">
                  <c:v>0.40323200353134486</c:v>
                </c:pt>
                <c:pt idx="7">
                  <c:v>0.38037990690865647</c:v>
                </c:pt>
                <c:pt idx="8">
                  <c:v>0.36236777357954797</c:v>
                </c:pt>
                <c:pt idx="9">
                  <c:v>0.34797978394603146</c:v>
                </c:pt>
                <c:pt idx="10">
                  <c:v>0.33636949958260126</c:v>
                </c:pt>
                <c:pt idx="11">
                  <c:v>0.32693051931997202</c:v>
                </c:pt>
                <c:pt idx="12">
                  <c:v>0.3192176619243815</c:v>
                </c:pt>
                <c:pt idx="13">
                  <c:v>0.31289712751537785</c:v>
                </c:pt>
                <c:pt idx="14">
                  <c:v>0.30771396645058785</c:v>
                </c:pt>
                <c:pt idx="15">
                  <c:v>0.30347025203431072</c:v>
                </c:pt>
                <c:pt idx="16">
                  <c:v>0.29995889457298885</c:v>
                </c:pt>
              </c:numCache>
            </c:numRef>
          </c:yVal>
          <c:smooth val="1"/>
          <c:extLst>
            <c:ext xmlns:c16="http://schemas.microsoft.com/office/drawing/2014/chart" uri="{C3380CC4-5D6E-409C-BE32-E72D297353CC}">
              <c16:uniqueId val="{00000001-BB2B-467F-A48D-6C8AD67D3255}"/>
            </c:ext>
          </c:extLst>
        </c:ser>
        <c:ser>
          <c:idx val="2"/>
          <c:order val="2"/>
          <c:tx>
            <c:v>10%</c:v>
          </c:tx>
          <c:spPr>
            <a:ln w="6350" cap="rnd">
              <a:solidFill>
                <a:schemeClr val="bg2">
                  <a:lumMod val="75000"/>
                </a:schemeClr>
              </a:solidFill>
              <a:round/>
            </a:ln>
            <a:effectLst/>
          </c:spPr>
          <c:marker>
            <c:symbol val="none"/>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cMON'!$P$10:$P$26</c:f>
              <c:numCache>
                <c:formatCode>0.000</c:formatCode>
                <c:ptCount val="17"/>
                <c:pt idx="0">
                  <c:v>0.8179810008937165</c:v>
                </c:pt>
                <c:pt idx="1">
                  <c:v>0.6521143458295412</c:v>
                </c:pt>
                <c:pt idx="2">
                  <c:v>0.54956265548988581</c:v>
                </c:pt>
                <c:pt idx="3">
                  <c:v>0.4809086822882514</c:v>
                </c:pt>
                <c:pt idx="4">
                  <c:v>0.4323692672421941</c:v>
                </c:pt>
                <c:pt idx="5">
                  <c:v>0.39667008726353503</c:v>
                </c:pt>
                <c:pt idx="6">
                  <c:v>0.36962933657039948</c:v>
                </c:pt>
                <c:pt idx="7">
                  <c:v>0.34868158133293514</c:v>
                </c:pt>
                <c:pt idx="8">
                  <c:v>0.3321704591145857</c:v>
                </c:pt>
                <c:pt idx="9">
                  <c:v>0.31898146861719551</c:v>
                </c:pt>
                <c:pt idx="10">
                  <c:v>0.30833870795071788</c:v>
                </c:pt>
                <c:pt idx="11">
                  <c:v>0.29968630937664109</c:v>
                </c:pt>
                <c:pt idx="12">
                  <c:v>0.29261619009734974</c:v>
                </c:pt>
                <c:pt idx="13">
                  <c:v>0.2868223668890964</c:v>
                </c:pt>
                <c:pt idx="14">
                  <c:v>0.2820711359130389</c:v>
                </c:pt>
                <c:pt idx="15">
                  <c:v>0.27818106436478485</c:v>
                </c:pt>
                <c:pt idx="16">
                  <c:v>0.27496232002523979</c:v>
                </c:pt>
              </c:numCache>
            </c:numRef>
          </c:yVal>
          <c:smooth val="1"/>
          <c:extLst>
            <c:ext xmlns:c16="http://schemas.microsoft.com/office/drawing/2014/chart" uri="{C3380CC4-5D6E-409C-BE32-E72D297353CC}">
              <c16:uniqueId val="{00000002-BB2B-467F-A48D-6C8AD67D3255}"/>
            </c:ext>
          </c:extLst>
        </c:ser>
        <c:ser>
          <c:idx val="3"/>
          <c:order val="3"/>
          <c:tx>
            <c:v>Dicom</c:v>
          </c:tx>
          <c:spPr>
            <a:ln w="9525" cap="rnd">
              <a:solidFill>
                <a:schemeClr val="tx1">
                  <a:lumMod val="75000"/>
                  <a:lumOff val="25000"/>
                </a:schemeClr>
              </a:solidFill>
              <a:round/>
            </a:ln>
            <a:effectLst/>
          </c:spPr>
          <c:marker>
            <c:symbol val="none"/>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cMON'!$Q$10:$Q$26</c:f>
              <c:numCache>
                <c:formatCode>0.0000</c:formatCode>
                <c:ptCount val="17"/>
                <c:pt idx="0">
                  <c:v>0.74361909172156038</c:v>
                </c:pt>
                <c:pt idx="1">
                  <c:v>0.59283122348140105</c:v>
                </c:pt>
                <c:pt idx="2">
                  <c:v>0.49960241408171435</c:v>
                </c:pt>
                <c:pt idx="3">
                  <c:v>0.43718971117113758</c:v>
                </c:pt>
                <c:pt idx="4">
                  <c:v>0.39306297022017644</c:v>
                </c:pt>
                <c:pt idx="5">
                  <c:v>0.36060917023957728</c:v>
                </c:pt>
                <c:pt idx="6">
                  <c:v>0.33602666960945404</c:v>
                </c:pt>
                <c:pt idx="7">
                  <c:v>0.31698325575721376</c:v>
                </c:pt>
                <c:pt idx="8">
                  <c:v>0.30197314464962333</c:v>
                </c:pt>
                <c:pt idx="9">
                  <c:v>0.28998315328835955</c:v>
                </c:pt>
                <c:pt idx="10">
                  <c:v>0.28030791631883439</c:v>
                </c:pt>
                <c:pt idx="11">
                  <c:v>0.27244209943331005</c:v>
                </c:pt>
                <c:pt idx="12">
                  <c:v>0.26601471827031792</c:v>
                </c:pt>
                <c:pt idx="13">
                  <c:v>0.2607476062628149</c:v>
                </c:pt>
                <c:pt idx="14">
                  <c:v>0.25642830537548988</c:v>
                </c:pt>
                <c:pt idx="15">
                  <c:v>0.25289187669525892</c:v>
                </c:pt>
                <c:pt idx="16">
                  <c:v>0.2499657454774907</c:v>
                </c:pt>
              </c:numCache>
            </c:numRef>
          </c:yVal>
          <c:smooth val="1"/>
          <c:extLst>
            <c:ext xmlns:c16="http://schemas.microsoft.com/office/drawing/2014/chart" uri="{C3380CC4-5D6E-409C-BE32-E72D297353CC}">
              <c16:uniqueId val="{00000003-BB2B-467F-A48D-6C8AD67D3255}"/>
            </c:ext>
          </c:extLst>
        </c:ser>
        <c:ser>
          <c:idx val="4"/>
          <c:order val="4"/>
          <c:tx>
            <c:v>-10%</c:v>
          </c:tx>
          <c:spPr>
            <a:ln w="6350" cap="rnd">
              <a:solidFill>
                <a:schemeClr val="bg1">
                  <a:lumMod val="65000"/>
                </a:schemeClr>
              </a:solidFill>
              <a:round/>
            </a:ln>
            <a:effectLst/>
          </c:spPr>
          <c:marker>
            <c:symbol val="none"/>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cMON'!$R$10:$R$26</c:f>
              <c:numCache>
                <c:formatCode>0.000</c:formatCode>
                <c:ptCount val="17"/>
                <c:pt idx="0">
                  <c:v>0.66925718254940436</c:v>
                </c:pt>
                <c:pt idx="1">
                  <c:v>0.53354810113326101</c:v>
                </c:pt>
                <c:pt idx="2">
                  <c:v>0.44964217267354295</c:v>
                </c:pt>
                <c:pt idx="3">
                  <c:v>0.39347074005402383</c:v>
                </c:pt>
                <c:pt idx="4">
                  <c:v>0.35375667319815879</c:v>
                </c:pt>
                <c:pt idx="5">
                  <c:v>0.32454825321561959</c:v>
                </c:pt>
                <c:pt idx="6">
                  <c:v>0.30242400264850866</c:v>
                </c:pt>
                <c:pt idx="7">
                  <c:v>0.28528493018149237</c:v>
                </c:pt>
                <c:pt idx="8">
                  <c:v>0.271775830184661</c:v>
                </c:pt>
                <c:pt idx="9">
                  <c:v>0.2609848379595236</c:v>
                </c:pt>
                <c:pt idx="10">
                  <c:v>0.25227712468695096</c:v>
                </c:pt>
                <c:pt idx="11">
                  <c:v>0.24519788948997906</c:v>
                </c:pt>
                <c:pt idx="12">
                  <c:v>0.23941324644328613</c:v>
                </c:pt>
                <c:pt idx="13">
                  <c:v>0.23467284563653343</c:v>
                </c:pt>
                <c:pt idx="14">
                  <c:v>0.2307854748379409</c:v>
                </c:pt>
                <c:pt idx="15">
                  <c:v>0.22760268902573302</c:v>
                </c:pt>
                <c:pt idx="16">
                  <c:v>0.22496917092974164</c:v>
                </c:pt>
              </c:numCache>
            </c:numRef>
          </c:yVal>
          <c:smooth val="1"/>
          <c:extLst>
            <c:ext xmlns:c16="http://schemas.microsoft.com/office/drawing/2014/chart" uri="{C3380CC4-5D6E-409C-BE32-E72D297353CC}">
              <c16:uniqueId val="{00000004-BB2B-467F-A48D-6C8AD67D3255}"/>
            </c:ext>
          </c:extLst>
        </c:ser>
        <c:ser>
          <c:idx val="5"/>
          <c:order val="5"/>
          <c:tx>
            <c:v>-20%</c:v>
          </c:tx>
          <c:spPr>
            <a:ln w="6350" cap="rnd">
              <a:solidFill>
                <a:schemeClr val="accent2">
                  <a:lumMod val="75000"/>
                </a:schemeClr>
              </a:solidFill>
              <a:round/>
            </a:ln>
            <a:effectLst/>
          </c:spPr>
          <c:marker>
            <c:symbol val="none"/>
          </c:marker>
          <c:xVal>
            <c:numRef>
              <c:f>'2.14 cMON'!$M$10:$M$26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cMON'!$S$10:$S$26</c:f>
              <c:numCache>
                <c:formatCode>0.000</c:formatCode>
                <c:ptCount val="17"/>
                <c:pt idx="0">
                  <c:v>0.59489527337724835</c:v>
                </c:pt>
                <c:pt idx="1">
                  <c:v>0.47426497878512086</c:v>
                </c:pt>
                <c:pt idx="2">
                  <c:v>0.39968193126537149</c:v>
                </c:pt>
                <c:pt idx="3">
                  <c:v>0.34975176893691007</c:v>
                </c:pt>
                <c:pt idx="4">
                  <c:v>0.31445037617614119</c:v>
                </c:pt>
                <c:pt idx="5">
                  <c:v>0.28848733619166184</c:v>
                </c:pt>
                <c:pt idx="6">
                  <c:v>0.26882133568756322</c:v>
                </c:pt>
                <c:pt idx="7">
                  <c:v>0.25358660460577104</c:v>
                </c:pt>
                <c:pt idx="8">
                  <c:v>0.24157851571969868</c:v>
                </c:pt>
                <c:pt idx="9">
                  <c:v>0.23198652263068764</c:v>
                </c:pt>
                <c:pt idx="10">
                  <c:v>0.22424633305506753</c:v>
                </c:pt>
                <c:pt idx="11">
                  <c:v>0.21795367954664804</c:v>
                </c:pt>
                <c:pt idx="12">
                  <c:v>0.21281177461625433</c:v>
                </c:pt>
                <c:pt idx="13">
                  <c:v>0.20859808501025193</c:v>
                </c:pt>
                <c:pt idx="14">
                  <c:v>0.20514264430039192</c:v>
                </c:pt>
                <c:pt idx="15">
                  <c:v>0.20231350135620715</c:v>
                </c:pt>
                <c:pt idx="16">
                  <c:v>0.19997259638199258</c:v>
                </c:pt>
              </c:numCache>
            </c:numRef>
          </c:yVal>
          <c:smooth val="1"/>
          <c:extLst>
            <c:ext xmlns:c16="http://schemas.microsoft.com/office/drawing/2014/chart" uri="{C3380CC4-5D6E-409C-BE32-E72D297353CC}">
              <c16:uniqueId val="{00000005-BB2B-467F-A48D-6C8AD67D3255}"/>
            </c:ext>
          </c:extLst>
        </c:ser>
        <c:dLbls>
          <c:showLegendKey val="0"/>
          <c:showVal val="0"/>
          <c:showCatName val="0"/>
          <c:showSerName val="0"/>
          <c:showPercent val="0"/>
          <c:showBubbleSize val="0"/>
        </c:dLbls>
        <c:axId val="131961600"/>
        <c:axId val="131963136"/>
      </c:scatterChart>
      <c:valAx>
        <c:axId val="131961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3136"/>
        <c:crosses val="autoZero"/>
        <c:crossBetween val="midCat"/>
      </c:valAx>
      <c:valAx>
        <c:axId val="13196313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1600"/>
        <c:crosses val="autoZero"/>
        <c:crossBetween val="midCat"/>
      </c:valAx>
      <c:spPr>
        <a:noFill/>
        <a:ln>
          <a:noFill/>
        </a:ln>
        <a:effectLst/>
      </c:spPr>
    </c:plotArea>
    <c:legend>
      <c:legendPos val="r"/>
      <c:layout>
        <c:manualLayout>
          <c:xMode val="edge"/>
          <c:yMode val="edge"/>
          <c:x val="0.42982818440570919"/>
          <c:y val="8.7645391384900434E-2"/>
          <c:w val="0.40130638023809029"/>
          <c:h val="0.23984123935727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949256342957"/>
          <c:y val="5.1764630772504781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(2)'!$N$32:$N$48</c:f>
              <c:numCache>
                <c:formatCode>0.0000</c:formatCode>
                <c:ptCount val="17"/>
                <c:pt idx="0">
                  <c:v>0.46009389671361517</c:v>
                </c:pt>
                <c:pt idx="1">
                  <c:v>0.68341708542713564</c:v>
                </c:pt>
                <c:pt idx="2">
                  <c:v>0.55088195386702854</c:v>
                </c:pt>
                <c:pt idx="3">
                  <c:v>0.4752635847526358</c:v>
                </c:pt>
                <c:pt idx="4">
                  <c:v>0.41289651586063442</c:v>
                </c:pt>
                <c:pt idx="5">
                  <c:v>0.3776223776223776</c:v>
                </c:pt>
                <c:pt idx="6">
                  <c:v>0.3</c:v>
                </c:pt>
                <c:pt idx="7">
                  <c:v>0.383128295254833</c:v>
                </c:pt>
                <c:pt idx="8">
                  <c:v>0.31761786600496289</c:v>
                </c:pt>
                <c:pt idx="9">
                  <c:v>0.30490018148820319</c:v>
                </c:pt>
                <c:pt idx="10">
                  <c:v>0.28956228956228958</c:v>
                </c:pt>
                <c:pt idx="11">
                  <c:v>0.29145728643216079</c:v>
                </c:pt>
                <c:pt idx="12">
                  <c:v>0.27924528301886792</c:v>
                </c:pt>
                <c:pt idx="13">
                  <c:v>0.27920227920227919</c:v>
                </c:pt>
                <c:pt idx="14">
                  <c:v>0.27213822894168466</c:v>
                </c:pt>
                <c:pt idx="15">
                  <c:v>0.26688632619439867</c:v>
                </c:pt>
                <c:pt idx="16">
                  <c:v>0.26700251889168763</c:v>
                </c:pt>
              </c:numCache>
            </c:numRef>
          </c:yVal>
          <c:smooth val="1"/>
          <c:extLst>
            <c:ext xmlns:c16="http://schemas.microsoft.com/office/drawing/2014/chart" uri="{C3380CC4-5D6E-409C-BE32-E72D297353CC}">
              <c16:uniqueId val="{00000000-EF95-4F81-9C4D-551D9D2551B6}"/>
            </c:ext>
          </c:extLst>
        </c:ser>
        <c:ser>
          <c:idx val="1"/>
          <c:order val="1"/>
          <c:tx>
            <c:v>20%</c:v>
          </c:tx>
          <c:spPr>
            <a:ln w="6350" cap="rnd">
              <a:solidFill>
                <a:schemeClr val="accent2">
                  <a:lumMod val="75000"/>
                </a:schemeClr>
              </a:solidFill>
              <a:round/>
            </a:ln>
            <a:effectLst/>
          </c:spPr>
          <c:marker>
            <c:symbol val="none"/>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(2)'!$O$32:$O$48</c:f>
              <c:numCache>
                <c:formatCode>0.000</c:formatCode>
                <c:ptCount val="17"/>
                <c:pt idx="0">
                  <c:v>0.93631955141762369</c:v>
                </c:pt>
                <c:pt idx="1">
                  <c:v>0.73625113764163941</c:v>
                </c:pt>
                <c:pt idx="2">
                  <c:v>0.61491872699124628</c:v>
                </c:pt>
                <c:pt idx="3">
                  <c:v>0.53462469946453806</c:v>
                </c:pt>
                <c:pt idx="4">
                  <c:v>0.47830256449286751</c:v>
                </c:pt>
                <c:pt idx="5">
                  <c:v>0.43710956397439299</c:v>
                </c:pt>
                <c:pt idx="6">
                  <c:v>0.40603068701647221</c:v>
                </c:pt>
                <c:pt idx="7">
                  <c:v>0.38202116573036438</c:v>
                </c:pt>
                <c:pt idx="8">
                  <c:v>0.36313127093782765</c:v>
                </c:pt>
                <c:pt idx="9">
                  <c:v>0.34805784681650187</c:v>
                </c:pt>
                <c:pt idx="10">
                  <c:v>0.33589866874804369</c:v>
                </c:pt>
                <c:pt idx="11">
                  <c:v>0.3260103880768222</c:v>
                </c:pt>
                <c:pt idx="12">
                  <c:v>0.31792259093028735</c:v>
                </c:pt>
                <c:pt idx="13">
                  <c:v>0.31128378643486221</c:v>
                </c:pt>
                <c:pt idx="14">
                  <c:v>0.30582633645717811</c:v>
                </c:pt>
                <c:pt idx="15">
                  <c:v>0.30134303182475008</c:v>
                </c:pt>
                <c:pt idx="16">
                  <c:v>0.29756843968094138</c:v>
                </c:pt>
              </c:numCache>
            </c:numRef>
          </c:yVal>
          <c:smooth val="1"/>
          <c:extLst>
            <c:ext xmlns:c16="http://schemas.microsoft.com/office/drawing/2014/chart" uri="{C3380CC4-5D6E-409C-BE32-E72D297353CC}">
              <c16:uniqueId val="{00000001-EF95-4F81-9C4D-551D9D2551B6}"/>
            </c:ext>
          </c:extLst>
        </c:ser>
        <c:ser>
          <c:idx val="2"/>
          <c:order val="2"/>
          <c:tx>
            <c:v>10%</c:v>
          </c:tx>
          <c:spPr>
            <a:ln w="6350" cap="rnd">
              <a:solidFill>
                <a:schemeClr val="bg2">
                  <a:lumMod val="75000"/>
                </a:schemeClr>
              </a:solidFill>
              <a:round/>
            </a:ln>
            <a:effectLst/>
          </c:spPr>
          <c:marker>
            <c:symbol val="none"/>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(2)'!$P$32:$P$48</c:f>
              <c:numCache>
                <c:formatCode>0.000</c:formatCode>
                <c:ptCount val="17"/>
                <c:pt idx="0">
                  <c:v>0.85829292213282182</c:v>
                </c:pt>
                <c:pt idx="1">
                  <c:v>0.67489687617150285</c:v>
                </c:pt>
                <c:pt idx="2">
                  <c:v>0.56367549974197584</c:v>
                </c:pt>
                <c:pt idx="3">
                  <c:v>0.49007264117582661</c:v>
                </c:pt>
                <c:pt idx="4">
                  <c:v>0.43844401745179529</c:v>
                </c:pt>
                <c:pt idx="5">
                  <c:v>0.40068376697652697</c:v>
                </c:pt>
                <c:pt idx="6">
                  <c:v>0.37219479643176623</c:v>
                </c:pt>
                <c:pt idx="7">
                  <c:v>0.35018606858616741</c:v>
                </c:pt>
                <c:pt idx="8">
                  <c:v>0.33287033169300873</c:v>
                </c:pt>
                <c:pt idx="9">
                  <c:v>0.31905302624846005</c:v>
                </c:pt>
                <c:pt idx="10">
                  <c:v>0.30790711301904011</c:v>
                </c:pt>
                <c:pt idx="11">
                  <c:v>0.29884285573708708</c:v>
                </c:pt>
                <c:pt idx="12">
                  <c:v>0.29142904168609673</c:v>
                </c:pt>
                <c:pt idx="13">
                  <c:v>0.28534347089862372</c:v>
                </c:pt>
                <c:pt idx="14">
                  <c:v>0.28034080841907999</c:v>
                </c:pt>
                <c:pt idx="15">
                  <c:v>0.27623111250602095</c:v>
                </c:pt>
                <c:pt idx="16">
                  <c:v>0.27277106970752962</c:v>
                </c:pt>
              </c:numCache>
            </c:numRef>
          </c:yVal>
          <c:smooth val="1"/>
          <c:extLst>
            <c:ext xmlns:c16="http://schemas.microsoft.com/office/drawing/2014/chart" uri="{C3380CC4-5D6E-409C-BE32-E72D297353CC}">
              <c16:uniqueId val="{00000002-EF95-4F81-9C4D-551D9D2551B6}"/>
            </c:ext>
          </c:extLst>
        </c:ser>
        <c:ser>
          <c:idx val="3"/>
          <c:order val="3"/>
          <c:tx>
            <c:v>Dicom</c:v>
          </c:tx>
          <c:spPr>
            <a:ln w="9525" cap="rnd">
              <a:solidFill>
                <a:schemeClr val="tx1">
                  <a:lumMod val="75000"/>
                  <a:lumOff val="25000"/>
                </a:schemeClr>
              </a:solidFill>
              <a:round/>
            </a:ln>
            <a:effectLst/>
          </c:spPr>
          <c:marker>
            <c:symbol val="none"/>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(2)'!$Q$32:$Q$48</c:f>
              <c:numCache>
                <c:formatCode>0.0000</c:formatCode>
                <c:ptCount val="17"/>
                <c:pt idx="0">
                  <c:v>0.78026629284801974</c:v>
                </c:pt>
                <c:pt idx="1">
                  <c:v>0.61354261470136617</c:v>
                </c:pt>
                <c:pt idx="2">
                  <c:v>0.51243227249270529</c:v>
                </c:pt>
                <c:pt idx="3">
                  <c:v>0.44552058288711505</c:v>
                </c:pt>
                <c:pt idx="4">
                  <c:v>0.39858547041072295</c:v>
                </c:pt>
                <c:pt idx="5">
                  <c:v>0.36425796997866083</c:v>
                </c:pt>
                <c:pt idx="6">
                  <c:v>0.33835890584706019</c:v>
                </c:pt>
                <c:pt idx="7">
                  <c:v>0.31835097144197033</c:v>
                </c:pt>
                <c:pt idx="8">
                  <c:v>0.30260939244818974</c:v>
                </c:pt>
                <c:pt idx="9">
                  <c:v>0.29004820568041823</c:v>
                </c:pt>
                <c:pt idx="10">
                  <c:v>0.27991555729003642</c:v>
                </c:pt>
                <c:pt idx="11">
                  <c:v>0.27167532339735184</c:v>
                </c:pt>
                <c:pt idx="12">
                  <c:v>0.26493549244190612</c:v>
                </c:pt>
                <c:pt idx="13">
                  <c:v>0.25940315536238517</c:v>
                </c:pt>
                <c:pt idx="14">
                  <c:v>0.25485528038098176</c:v>
                </c:pt>
                <c:pt idx="15">
                  <c:v>0.25111919318729176</c:v>
                </c:pt>
                <c:pt idx="16">
                  <c:v>0.24797369973411781</c:v>
                </c:pt>
              </c:numCache>
            </c:numRef>
          </c:yVal>
          <c:smooth val="1"/>
          <c:extLst>
            <c:ext xmlns:c16="http://schemas.microsoft.com/office/drawing/2014/chart" uri="{C3380CC4-5D6E-409C-BE32-E72D297353CC}">
              <c16:uniqueId val="{00000003-EF95-4F81-9C4D-551D9D2551B6}"/>
            </c:ext>
          </c:extLst>
        </c:ser>
        <c:ser>
          <c:idx val="4"/>
          <c:order val="4"/>
          <c:tx>
            <c:v>-10%</c:v>
          </c:tx>
          <c:spPr>
            <a:ln w="6350" cap="rnd">
              <a:solidFill>
                <a:schemeClr val="bg1">
                  <a:lumMod val="65000"/>
                </a:schemeClr>
              </a:solidFill>
              <a:round/>
            </a:ln>
            <a:effectLst/>
          </c:spPr>
          <c:marker>
            <c:symbol val="none"/>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(2)'!$R$32:$R$48</c:f>
              <c:numCache>
                <c:formatCode>0.000</c:formatCode>
                <c:ptCount val="17"/>
                <c:pt idx="0">
                  <c:v>0.70223966356321776</c:v>
                </c:pt>
                <c:pt idx="1">
                  <c:v>0.55218835323122961</c:v>
                </c:pt>
                <c:pt idx="2">
                  <c:v>0.46118904524343479</c:v>
                </c:pt>
                <c:pt idx="3">
                  <c:v>0.40096852459840354</c:v>
                </c:pt>
                <c:pt idx="4">
                  <c:v>0.35872692336965067</c:v>
                </c:pt>
                <c:pt idx="5">
                  <c:v>0.32783217298079476</c:v>
                </c:pt>
                <c:pt idx="6">
                  <c:v>0.3045230152623542</c:v>
                </c:pt>
                <c:pt idx="7">
                  <c:v>0.28651587429777331</c:v>
                </c:pt>
                <c:pt idx="8">
                  <c:v>0.27234845320337076</c:v>
                </c:pt>
                <c:pt idx="9">
                  <c:v>0.2610433851123764</c:v>
                </c:pt>
                <c:pt idx="10">
                  <c:v>0.25192400156103278</c:v>
                </c:pt>
                <c:pt idx="11">
                  <c:v>0.24450779105761666</c:v>
                </c:pt>
                <c:pt idx="12">
                  <c:v>0.2384419431977155</c:v>
                </c:pt>
                <c:pt idx="13">
                  <c:v>0.23346283982614666</c:v>
                </c:pt>
                <c:pt idx="14">
                  <c:v>0.22936975234288359</c:v>
                </c:pt>
                <c:pt idx="15">
                  <c:v>0.22600727386856259</c:v>
                </c:pt>
                <c:pt idx="16">
                  <c:v>0.22317632976070603</c:v>
                </c:pt>
              </c:numCache>
            </c:numRef>
          </c:yVal>
          <c:smooth val="1"/>
          <c:extLst>
            <c:ext xmlns:c16="http://schemas.microsoft.com/office/drawing/2014/chart" uri="{C3380CC4-5D6E-409C-BE32-E72D297353CC}">
              <c16:uniqueId val="{00000004-EF95-4F81-9C4D-551D9D2551B6}"/>
            </c:ext>
          </c:extLst>
        </c:ser>
        <c:ser>
          <c:idx val="5"/>
          <c:order val="5"/>
          <c:tx>
            <c:v>-20%</c:v>
          </c:tx>
          <c:spPr>
            <a:ln w="6350" cap="rnd">
              <a:solidFill>
                <a:schemeClr val="accent2">
                  <a:lumMod val="75000"/>
                </a:schemeClr>
              </a:solidFill>
              <a:round/>
            </a:ln>
            <a:effectLst/>
          </c:spPr>
          <c:marker>
            <c:symbol val="none"/>
          </c:marker>
          <c:xVal>
            <c:numRef>
              <c:f>'2.14 cMON (2)'!$M$32:$M$48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(2)'!$S$32:$S$48</c:f>
              <c:numCache>
                <c:formatCode>0.000</c:formatCode>
                <c:ptCount val="17"/>
                <c:pt idx="0">
                  <c:v>0.62421303427841579</c:v>
                </c:pt>
                <c:pt idx="1">
                  <c:v>0.49083409176109294</c:v>
                </c:pt>
                <c:pt idx="2">
                  <c:v>0.40994581799416424</c:v>
                </c:pt>
                <c:pt idx="3">
                  <c:v>0.35641646630969204</c:v>
                </c:pt>
                <c:pt idx="4">
                  <c:v>0.3188683763285784</c:v>
                </c:pt>
                <c:pt idx="5">
                  <c:v>0.29140637598292868</c:v>
                </c:pt>
                <c:pt idx="6">
                  <c:v>0.27068712467764816</c:v>
                </c:pt>
                <c:pt idx="7">
                  <c:v>0.25468077715357629</c:v>
                </c:pt>
                <c:pt idx="8">
                  <c:v>0.2420875139585518</c:v>
                </c:pt>
                <c:pt idx="9">
                  <c:v>0.23203856454433458</c:v>
                </c:pt>
                <c:pt idx="10">
                  <c:v>0.22393244583202915</c:v>
                </c:pt>
                <c:pt idx="11">
                  <c:v>0.21734025871788148</c:v>
                </c:pt>
                <c:pt idx="12">
                  <c:v>0.21194839395352491</c:v>
                </c:pt>
                <c:pt idx="13">
                  <c:v>0.20752252428990814</c:v>
                </c:pt>
                <c:pt idx="14">
                  <c:v>0.20388422430478542</c:v>
                </c:pt>
                <c:pt idx="15">
                  <c:v>0.20089535454983343</c:v>
                </c:pt>
                <c:pt idx="16">
                  <c:v>0.19837895978729425</c:v>
                </c:pt>
              </c:numCache>
            </c:numRef>
          </c:yVal>
          <c:smooth val="1"/>
          <c:extLst>
            <c:ext xmlns:c16="http://schemas.microsoft.com/office/drawing/2014/chart" uri="{C3380CC4-5D6E-409C-BE32-E72D297353CC}">
              <c16:uniqueId val="{00000005-EF95-4F81-9C4D-551D9D2551B6}"/>
            </c:ext>
          </c:extLst>
        </c:ser>
        <c:dLbls>
          <c:showLegendKey val="0"/>
          <c:showVal val="0"/>
          <c:showCatName val="0"/>
          <c:showSerName val="0"/>
          <c:showPercent val="0"/>
          <c:showBubbleSize val="0"/>
        </c:dLbls>
        <c:axId val="128681088"/>
        <c:axId val="128682624"/>
      </c:scatterChart>
      <c:valAx>
        <c:axId val="128681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2624"/>
        <c:crosses val="autoZero"/>
        <c:crossBetween val="midCat"/>
      </c:valAx>
      <c:valAx>
        <c:axId val="12868262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1088"/>
        <c:crosses val="autoZero"/>
        <c:crossBetween val="midCat"/>
      </c:valAx>
      <c:spPr>
        <a:noFill/>
        <a:ln>
          <a:noFill/>
        </a:ln>
        <a:effectLst/>
      </c:spPr>
    </c:plotArea>
    <c:legend>
      <c:legendPos val="r"/>
      <c:layout>
        <c:manualLayout>
          <c:xMode val="edge"/>
          <c:yMode val="edge"/>
          <c:x val="0.45090704286964128"/>
          <c:y val="8.7645391384900434E-2"/>
          <c:w val="0.38022747156605424"/>
          <c:h val="0.233230474569057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167078719381"/>
          <c:y val="5.1764705882352942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(2)'!$N$10:$N$26</c:f>
              <c:numCache>
                <c:formatCode>0.0000</c:formatCode>
                <c:ptCount val="17"/>
                <c:pt idx="0">
                  <c:v>0.50187265917602997</c:v>
                </c:pt>
                <c:pt idx="1">
                  <c:v>0.67460317460317465</c:v>
                </c:pt>
                <c:pt idx="2">
                  <c:v>0.55674518201284795</c:v>
                </c:pt>
                <c:pt idx="3">
                  <c:v>0.44834307992202732</c:v>
                </c:pt>
                <c:pt idx="4">
                  <c:v>0.45065789473684215</c:v>
                </c:pt>
                <c:pt idx="5">
                  <c:v>0.38482384823848237</c:v>
                </c:pt>
                <c:pt idx="6">
                  <c:v>0.30769230769230771</c:v>
                </c:pt>
                <c:pt idx="7">
                  <c:v>0.3783783783783784</c:v>
                </c:pt>
                <c:pt idx="8">
                  <c:v>0.30769230769230771</c:v>
                </c:pt>
                <c:pt idx="9">
                  <c:v>0.23269513991163471</c:v>
                </c:pt>
                <c:pt idx="10">
                  <c:v>0.28506787330316741</c:v>
                </c:pt>
                <c:pt idx="11">
                  <c:v>0.27350427350427353</c:v>
                </c:pt>
                <c:pt idx="12">
                  <c:v>0.26710097719869708</c:v>
                </c:pt>
                <c:pt idx="13">
                  <c:v>0.26433915211970077</c:v>
                </c:pt>
                <c:pt idx="14">
                  <c:v>0.26717557251908397</c:v>
                </c:pt>
                <c:pt idx="15">
                  <c:v>0.25550660792951541</c:v>
                </c:pt>
                <c:pt idx="16">
                  <c:v>0.26244343891402716</c:v>
                </c:pt>
              </c:numCache>
            </c:numRef>
          </c:yVal>
          <c:smooth val="1"/>
          <c:extLst>
            <c:ext xmlns:c16="http://schemas.microsoft.com/office/drawing/2014/chart" uri="{C3380CC4-5D6E-409C-BE32-E72D297353CC}">
              <c16:uniqueId val="{00000000-37A5-4E9F-B5E0-1FBE6CE09737}"/>
            </c:ext>
          </c:extLst>
        </c:ser>
        <c:ser>
          <c:idx val="1"/>
          <c:order val="1"/>
          <c:tx>
            <c:v>20%</c:v>
          </c:tx>
          <c:spPr>
            <a:ln w="6350" cap="rnd">
              <a:solidFill>
                <a:schemeClr val="accent2">
                  <a:lumMod val="75000"/>
                </a:schemeClr>
              </a:solidFill>
              <a:round/>
            </a:ln>
            <a:effectLst/>
          </c:spPr>
          <c:marker>
            <c:symbol val="none"/>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(2)'!$O$10:$O$26</c:f>
              <c:numCache>
                <c:formatCode>0.000</c:formatCode>
                <c:ptCount val="17"/>
                <c:pt idx="0">
                  <c:v>0.89234291006587241</c:v>
                </c:pt>
                <c:pt idx="1">
                  <c:v>0.71139746817768124</c:v>
                </c:pt>
                <c:pt idx="2">
                  <c:v>0.59952289689805716</c:v>
                </c:pt>
                <c:pt idx="3">
                  <c:v>0.5246276534053651</c:v>
                </c:pt>
                <c:pt idx="4">
                  <c:v>0.4716755642642117</c:v>
                </c:pt>
                <c:pt idx="5">
                  <c:v>0.43273100428749273</c:v>
                </c:pt>
                <c:pt idx="6">
                  <c:v>0.40323200353134486</c:v>
                </c:pt>
                <c:pt idx="7">
                  <c:v>0.38037990690865647</c:v>
                </c:pt>
                <c:pt idx="8">
                  <c:v>0.36236777357954797</c:v>
                </c:pt>
                <c:pt idx="9">
                  <c:v>0.34797978394603146</c:v>
                </c:pt>
                <c:pt idx="10">
                  <c:v>0.33636949958260126</c:v>
                </c:pt>
                <c:pt idx="11">
                  <c:v>0.32693051931997202</c:v>
                </c:pt>
                <c:pt idx="12">
                  <c:v>0.3192176619243815</c:v>
                </c:pt>
                <c:pt idx="13">
                  <c:v>0.31289712751537785</c:v>
                </c:pt>
                <c:pt idx="14">
                  <c:v>0.30771396645058785</c:v>
                </c:pt>
                <c:pt idx="15">
                  <c:v>0.30347025203431072</c:v>
                </c:pt>
                <c:pt idx="16">
                  <c:v>0.29995889457298885</c:v>
                </c:pt>
              </c:numCache>
            </c:numRef>
          </c:yVal>
          <c:smooth val="1"/>
          <c:extLst>
            <c:ext xmlns:c16="http://schemas.microsoft.com/office/drawing/2014/chart" uri="{C3380CC4-5D6E-409C-BE32-E72D297353CC}">
              <c16:uniqueId val="{00000001-37A5-4E9F-B5E0-1FBE6CE09737}"/>
            </c:ext>
          </c:extLst>
        </c:ser>
        <c:ser>
          <c:idx val="2"/>
          <c:order val="2"/>
          <c:tx>
            <c:v>10%</c:v>
          </c:tx>
          <c:spPr>
            <a:ln w="6350" cap="rnd">
              <a:solidFill>
                <a:schemeClr val="bg2">
                  <a:lumMod val="75000"/>
                </a:schemeClr>
              </a:solidFill>
              <a:round/>
            </a:ln>
            <a:effectLst/>
          </c:spPr>
          <c:marker>
            <c:symbol val="none"/>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(2)'!$P$10:$P$26</c:f>
              <c:numCache>
                <c:formatCode>0.000</c:formatCode>
                <c:ptCount val="17"/>
                <c:pt idx="0">
                  <c:v>0.8179810008937165</c:v>
                </c:pt>
                <c:pt idx="1">
                  <c:v>0.6521143458295412</c:v>
                </c:pt>
                <c:pt idx="2">
                  <c:v>0.54956265548988581</c:v>
                </c:pt>
                <c:pt idx="3">
                  <c:v>0.4809086822882514</c:v>
                </c:pt>
                <c:pt idx="4">
                  <c:v>0.4323692672421941</c:v>
                </c:pt>
                <c:pt idx="5">
                  <c:v>0.39667008726353503</c:v>
                </c:pt>
                <c:pt idx="6">
                  <c:v>0.36962933657039948</c:v>
                </c:pt>
                <c:pt idx="7">
                  <c:v>0.34868158133293514</c:v>
                </c:pt>
                <c:pt idx="8">
                  <c:v>0.3321704591145857</c:v>
                </c:pt>
                <c:pt idx="9">
                  <c:v>0.31898146861719551</c:v>
                </c:pt>
                <c:pt idx="10">
                  <c:v>0.30833870795071788</c:v>
                </c:pt>
                <c:pt idx="11">
                  <c:v>0.29968630937664109</c:v>
                </c:pt>
                <c:pt idx="12">
                  <c:v>0.29261619009734974</c:v>
                </c:pt>
                <c:pt idx="13">
                  <c:v>0.2868223668890964</c:v>
                </c:pt>
                <c:pt idx="14">
                  <c:v>0.2820711359130389</c:v>
                </c:pt>
                <c:pt idx="15">
                  <c:v>0.27818106436478485</c:v>
                </c:pt>
                <c:pt idx="16">
                  <c:v>0.27496232002523979</c:v>
                </c:pt>
              </c:numCache>
            </c:numRef>
          </c:yVal>
          <c:smooth val="1"/>
          <c:extLst>
            <c:ext xmlns:c16="http://schemas.microsoft.com/office/drawing/2014/chart" uri="{C3380CC4-5D6E-409C-BE32-E72D297353CC}">
              <c16:uniqueId val="{00000002-37A5-4E9F-B5E0-1FBE6CE09737}"/>
            </c:ext>
          </c:extLst>
        </c:ser>
        <c:ser>
          <c:idx val="3"/>
          <c:order val="3"/>
          <c:tx>
            <c:v>Dicom</c:v>
          </c:tx>
          <c:spPr>
            <a:ln w="9525" cap="rnd">
              <a:solidFill>
                <a:schemeClr val="tx1">
                  <a:lumMod val="75000"/>
                  <a:lumOff val="25000"/>
                </a:schemeClr>
              </a:solidFill>
              <a:round/>
            </a:ln>
            <a:effectLst/>
          </c:spPr>
          <c:marker>
            <c:symbol val="none"/>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(2)'!$Q$10:$Q$26</c:f>
              <c:numCache>
                <c:formatCode>0.0000</c:formatCode>
                <c:ptCount val="17"/>
                <c:pt idx="0">
                  <c:v>0.74361909172156038</c:v>
                </c:pt>
                <c:pt idx="1">
                  <c:v>0.59283122348140105</c:v>
                </c:pt>
                <c:pt idx="2">
                  <c:v>0.49960241408171435</c:v>
                </c:pt>
                <c:pt idx="3">
                  <c:v>0.43718971117113758</c:v>
                </c:pt>
                <c:pt idx="4">
                  <c:v>0.39306297022017644</c:v>
                </c:pt>
                <c:pt idx="5">
                  <c:v>0.36060917023957728</c:v>
                </c:pt>
                <c:pt idx="6">
                  <c:v>0.33602666960945404</c:v>
                </c:pt>
                <c:pt idx="7">
                  <c:v>0.31698325575721376</c:v>
                </c:pt>
                <c:pt idx="8">
                  <c:v>0.30197314464962333</c:v>
                </c:pt>
                <c:pt idx="9">
                  <c:v>0.28998315328835955</c:v>
                </c:pt>
                <c:pt idx="10">
                  <c:v>0.28030791631883439</c:v>
                </c:pt>
                <c:pt idx="11">
                  <c:v>0.27244209943331005</c:v>
                </c:pt>
                <c:pt idx="12">
                  <c:v>0.26601471827031792</c:v>
                </c:pt>
                <c:pt idx="13">
                  <c:v>0.2607476062628149</c:v>
                </c:pt>
                <c:pt idx="14">
                  <c:v>0.25642830537548988</c:v>
                </c:pt>
                <c:pt idx="15">
                  <c:v>0.25289187669525892</c:v>
                </c:pt>
                <c:pt idx="16">
                  <c:v>0.2499657454774907</c:v>
                </c:pt>
              </c:numCache>
            </c:numRef>
          </c:yVal>
          <c:smooth val="1"/>
          <c:extLst>
            <c:ext xmlns:c16="http://schemas.microsoft.com/office/drawing/2014/chart" uri="{C3380CC4-5D6E-409C-BE32-E72D297353CC}">
              <c16:uniqueId val="{00000003-37A5-4E9F-B5E0-1FBE6CE09737}"/>
            </c:ext>
          </c:extLst>
        </c:ser>
        <c:ser>
          <c:idx val="4"/>
          <c:order val="4"/>
          <c:tx>
            <c:v>-10%</c:v>
          </c:tx>
          <c:spPr>
            <a:ln w="6350" cap="rnd">
              <a:solidFill>
                <a:schemeClr val="bg1">
                  <a:lumMod val="65000"/>
                </a:schemeClr>
              </a:solidFill>
              <a:round/>
            </a:ln>
            <a:effectLst/>
          </c:spPr>
          <c:marker>
            <c:symbol val="none"/>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(2)'!$R$10:$R$26</c:f>
              <c:numCache>
                <c:formatCode>0.000</c:formatCode>
                <c:ptCount val="17"/>
                <c:pt idx="0">
                  <c:v>0.66925718254940436</c:v>
                </c:pt>
                <c:pt idx="1">
                  <c:v>0.53354810113326101</c:v>
                </c:pt>
                <c:pt idx="2">
                  <c:v>0.44964217267354295</c:v>
                </c:pt>
                <c:pt idx="3">
                  <c:v>0.39347074005402383</c:v>
                </c:pt>
                <c:pt idx="4">
                  <c:v>0.35375667319815879</c:v>
                </c:pt>
                <c:pt idx="5">
                  <c:v>0.32454825321561959</c:v>
                </c:pt>
                <c:pt idx="6">
                  <c:v>0.30242400264850866</c:v>
                </c:pt>
                <c:pt idx="7">
                  <c:v>0.28528493018149237</c:v>
                </c:pt>
                <c:pt idx="8">
                  <c:v>0.271775830184661</c:v>
                </c:pt>
                <c:pt idx="9">
                  <c:v>0.2609848379595236</c:v>
                </c:pt>
                <c:pt idx="10">
                  <c:v>0.25227712468695096</c:v>
                </c:pt>
                <c:pt idx="11">
                  <c:v>0.24519788948997906</c:v>
                </c:pt>
                <c:pt idx="12">
                  <c:v>0.23941324644328613</c:v>
                </c:pt>
                <c:pt idx="13">
                  <c:v>0.23467284563653343</c:v>
                </c:pt>
                <c:pt idx="14">
                  <c:v>0.2307854748379409</c:v>
                </c:pt>
                <c:pt idx="15">
                  <c:v>0.22760268902573302</c:v>
                </c:pt>
                <c:pt idx="16">
                  <c:v>0.22496917092974164</c:v>
                </c:pt>
              </c:numCache>
            </c:numRef>
          </c:yVal>
          <c:smooth val="1"/>
          <c:extLst>
            <c:ext xmlns:c16="http://schemas.microsoft.com/office/drawing/2014/chart" uri="{C3380CC4-5D6E-409C-BE32-E72D297353CC}">
              <c16:uniqueId val="{00000004-37A5-4E9F-B5E0-1FBE6CE09737}"/>
            </c:ext>
          </c:extLst>
        </c:ser>
        <c:ser>
          <c:idx val="5"/>
          <c:order val="5"/>
          <c:tx>
            <c:v>-20%</c:v>
          </c:tx>
          <c:spPr>
            <a:ln w="6350" cap="rnd">
              <a:solidFill>
                <a:schemeClr val="accent2">
                  <a:lumMod val="75000"/>
                </a:schemeClr>
              </a:solidFill>
              <a:round/>
            </a:ln>
            <a:effectLst/>
          </c:spPr>
          <c:marker>
            <c:symbol val="none"/>
          </c:marker>
          <c:xVal>
            <c:numRef>
              <c:f>'2.14 cMON (2)'!$M$10:$M$26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(2)'!$S$10:$S$26</c:f>
              <c:numCache>
                <c:formatCode>0.000</c:formatCode>
                <c:ptCount val="17"/>
                <c:pt idx="0">
                  <c:v>0.59489527337724835</c:v>
                </c:pt>
                <c:pt idx="1">
                  <c:v>0.47426497878512086</c:v>
                </c:pt>
                <c:pt idx="2">
                  <c:v>0.39968193126537149</c:v>
                </c:pt>
                <c:pt idx="3">
                  <c:v>0.34975176893691007</c:v>
                </c:pt>
                <c:pt idx="4">
                  <c:v>0.31445037617614119</c:v>
                </c:pt>
                <c:pt idx="5">
                  <c:v>0.28848733619166184</c:v>
                </c:pt>
                <c:pt idx="6">
                  <c:v>0.26882133568756322</c:v>
                </c:pt>
                <c:pt idx="7">
                  <c:v>0.25358660460577104</c:v>
                </c:pt>
                <c:pt idx="8">
                  <c:v>0.24157851571969868</c:v>
                </c:pt>
                <c:pt idx="9">
                  <c:v>0.23198652263068764</c:v>
                </c:pt>
                <c:pt idx="10">
                  <c:v>0.22424633305506753</c:v>
                </c:pt>
                <c:pt idx="11">
                  <c:v>0.21795367954664804</c:v>
                </c:pt>
                <c:pt idx="12">
                  <c:v>0.21281177461625433</c:v>
                </c:pt>
                <c:pt idx="13">
                  <c:v>0.20859808501025193</c:v>
                </c:pt>
                <c:pt idx="14">
                  <c:v>0.20514264430039192</c:v>
                </c:pt>
                <c:pt idx="15">
                  <c:v>0.20231350135620715</c:v>
                </c:pt>
                <c:pt idx="16">
                  <c:v>0.19997259638199258</c:v>
                </c:pt>
              </c:numCache>
            </c:numRef>
          </c:yVal>
          <c:smooth val="1"/>
          <c:extLst>
            <c:ext xmlns:c16="http://schemas.microsoft.com/office/drawing/2014/chart" uri="{C3380CC4-5D6E-409C-BE32-E72D297353CC}">
              <c16:uniqueId val="{00000005-37A5-4E9F-B5E0-1FBE6CE09737}"/>
            </c:ext>
          </c:extLst>
        </c:ser>
        <c:dLbls>
          <c:showLegendKey val="0"/>
          <c:showVal val="0"/>
          <c:showCatName val="0"/>
          <c:showSerName val="0"/>
          <c:showPercent val="0"/>
          <c:showBubbleSize val="0"/>
        </c:dLbls>
        <c:axId val="131961600"/>
        <c:axId val="131963136"/>
      </c:scatterChart>
      <c:valAx>
        <c:axId val="131961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3136"/>
        <c:crosses val="autoZero"/>
        <c:crossBetween val="midCat"/>
      </c:valAx>
      <c:valAx>
        <c:axId val="13196313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1600"/>
        <c:crosses val="autoZero"/>
        <c:crossBetween val="midCat"/>
      </c:valAx>
      <c:spPr>
        <a:noFill/>
        <a:ln>
          <a:noFill/>
        </a:ln>
        <a:effectLst/>
      </c:spPr>
    </c:plotArea>
    <c:legend>
      <c:legendPos val="r"/>
      <c:layout>
        <c:manualLayout>
          <c:xMode val="edge"/>
          <c:yMode val="edge"/>
          <c:x val="0.42982818440570919"/>
          <c:y val="8.7645391384900434E-2"/>
          <c:w val="0.40130638023809029"/>
          <c:h val="0.23984123935727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5949256342957"/>
          <c:y val="5.1764630772504781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(3)'!$N$32:$N$48</c:f>
              <c:numCache>
                <c:formatCode>0.0000</c:formatCode>
                <c:ptCount val="17"/>
                <c:pt idx="0">
                  <c:v>0.46009389671361517</c:v>
                </c:pt>
                <c:pt idx="1">
                  <c:v>0.68341708542713564</c:v>
                </c:pt>
                <c:pt idx="2">
                  <c:v>0.55088195386702854</c:v>
                </c:pt>
                <c:pt idx="3">
                  <c:v>0.4752635847526358</c:v>
                </c:pt>
                <c:pt idx="4">
                  <c:v>0.41289651586063442</c:v>
                </c:pt>
                <c:pt idx="5">
                  <c:v>0.3776223776223776</c:v>
                </c:pt>
                <c:pt idx="6">
                  <c:v>0.3</c:v>
                </c:pt>
                <c:pt idx="7">
                  <c:v>0.383128295254833</c:v>
                </c:pt>
                <c:pt idx="8">
                  <c:v>0.31761786600496289</c:v>
                </c:pt>
                <c:pt idx="9">
                  <c:v>0.30490018148820319</c:v>
                </c:pt>
                <c:pt idx="10">
                  <c:v>0.28956228956228958</c:v>
                </c:pt>
                <c:pt idx="11">
                  <c:v>0.29145728643216079</c:v>
                </c:pt>
                <c:pt idx="12">
                  <c:v>0.27924528301886792</c:v>
                </c:pt>
                <c:pt idx="13">
                  <c:v>0.27920227920227919</c:v>
                </c:pt>
                <c:pt idx="14">
                  <c:v>0.27213822894168466</c:v>
                </c:pt>
                <c:pt idx="15">
                  <c:v>0.26688632619439867</c:v>
                </c:pt>
                <c:pt idx="16">
                  <c:v>0.26700251889168763</c:v>
                </c:pt>
              </c:numCache>
            </c:numRef>
          </c:yVal>
          <c:smooth val="1"/>
          <c:extLst>
            <c:ext xmlns:c16="http://schemas.microsoft.com/office/drawing/2014/chart" uri="{C3380CC4-5D6E-409C-BE32-E72D297353CC}">
              <c16:uniqueId val="{00000000-03C2-49F7-82FA-576DE8F39EB6}"/>
            </c:ext>
          </c:extLst>
        </c:ser>
        <c:ser>
          <c:idx val="1"/>
          <c:order val="1"/>
          <c:tx>
            <c:v>20%</c:v>
          </c:tx>
          <c:spPr>
            <a:ln w="6350" cap="rnd">
              <a:solidFill>
                <a:schemeClr val="accent2">
                  <a:lumMod val="75000"/>
                </a:schemeClr>
              </a:solidFill>
              <a:round/>
            </a:ln>
            <a:effectLst/>
          </c:spPr>
          <c:marker>
            <c:symbol val="none"/>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(3)'!$O$32:$O$48</c:f>
              <c:numCache>
                <c:formatCode>0.000</c:formatCode>
                <c:ptCount val="17"/>
                <c:pt idx="0">
                  <c:v>0.93631955141762369</c:v>
                </c:pt>
                <c:pt idx="1">
                  <c:v>0.73625113764163941</c:v>
                </c:pt>
                <c:pt idx="2">
                  <c:v>0.61491872699124628</c:v>
                </c:pt>
                <c:pt idx="3">
                  <c:v>0.53462469946453806</c:v>
                </c:pt>
                <c:pt idx="4">
                  <c:v>0.47830256449286751</c:v>
                </c:pt>
                <c:pt idx="5">
                  <c:v>0.43710956397439299</c:v>
                </c:pt>
                <c:pt idx="6">
                  <c:v>0.40603068701647221</c:v>
                </c:pt>
                <c:pt idx="7">
                  <c:v>0.38202116573036438</c:v>
                </c:pt>
                <c:pt idx="8">
                  <c:v>0.36313127093782765</c:v>
                </c:pt>
                <c:pt idx="9">
                  <c:v>0.34805784681650187</c:v>
                </c:pt>
                <c:pt idx="10">
                  <c:v>0.33589866874804369</c:v>
                </c:pt>
                <c:pt idx="11">
                  <c:v>0.3260103880768222</c:v>
                </c:pt>
                <c:pt idx="12">
                  <c:v>0.31792259093028735</c:v>
                </c:pt>
                <c:pt idx="13">
                  <c:v>0.31128378643486221</c:v>
                </c:pt>
                <c:pt idx="14">
                  <c:v>0.30582633645717811</c:v>
                </c:pt>
                <c:pt idx="15">
                  <c:v>0.30134303182475008</c:v>
                </c:pt>
                <c:pt idx="16">
                  <c:v>0.29756843968094138</c:v>
                </c:pt>
              </c:numCache>
            </c:numRef>
          </c:yVal>
          <c:smooth val="1"/>
          <c:extLst>
            <c:ext xmlns:c16="http://schemas.microsoft.com/office/drawing/2014/chart" uri="{C3380CC4-5D6E-409C-BE32-E72D297353CC}">
              <c16:uniqueId val="{00000001-03C2-49F7-82FA-576DE8F39EB6}"/>
            </c:ext>
          </c:extLst>
        </c:ser>
        <c:ser>
          <c:idx val="2"/>
          <c:order val="2"/>
          <c:tx>
            <c:v>10%</c:v>
          </c:tx>
          <c:spPr>
            <a:ln w="6350" cap="rnd">
              <a:solidFill>
                <a:schemeClr val="bg2">
                  <a:lumMod val="75000"/>
                </a:schemeClr>
              </a:solidFill>
              <a:round/>
            </a:ln>
            <a:effectLst/>
          </c:spPr>
          <c:marker>
            <c:symbol val="none"/>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(3)'!$P$32:$P$48</c:f>
              <c:numCache>
                <c:formatCode>0.000</c:formatCode>
                <c:ptCount val="17"/>
                <c:pt idx="0">
                  <c:v>0.85829292213282182</c:v>
                </c:pt>
                <c:pt idx="1">
                  <c:v>0.67489687617150285</c:v>
                </c:pt>
                <c:pt idx="2">
                  <c:v>0.56367549974197584</c:v>
                </c:pt>
                <c:pt idx="3">
                  <c:v>0.49007264117582661</c:v>
                </c:pt>
                <c:pt idx="4">
                  <c:v>0.43844401745179529</c:v>
                </c:pt>
                <c:pt idx="5">
                  <c:v>0.40068376697652697</c:v>
                </c:pt>
                <c:pt idx="6">
                  <c:v>0.37219479643176623</c:v>
                </c:pt>
                <c:pt idx="7">
                  <c:v>0.35018606858616741</c:v>
                </c:pt>
                <c:pt idx="8">
                  <c:v>0.33287033169300873</c:v>
                </c:pt>
                <c:pt idx="9">
                  <c:v>0.31905302624846005</c:v>
                </c:pt>
                <c:pt idx="10">
                  <c:v>0.30790711301904011</c:v>
                </c:pt>
                <c:pt idx="11">
                  <c:v>0.29884285573708708</c:v>
                </c:pt>
                <c:pt idx="12">
                  <c:v>0.29142904168609673</c:v>
                </c:pt>
                <c:pt idx="13">
                  <c:v>0.28534347089862372</c:v>
                </c:pt>
                <c:pt idx="14">
                  <c:v>0.28034080841907999</c:v>
                </c:pt>
                <c:pt idx="15">
                  <c:v>0.27623111250602095</c:v>
                </c:pt>
                <c:pt idx="16">
                  <c:v>0.27277106970752962</c:v>
                </c:pt>
              </c:numCache>
            </c:numRef>
          </c:yVal>
          <c:smooth val="1"/>
          <c:extLst>
            <c:ext xmlns:c16="http://schemas.microsoft.com/office/drawing/2014/chart" uri="{C3380CC4-5D6E-409C-BE32-E72D297353CC}">
              <c16:uniqueId val="{00000002-03C2-49F7-82FA-576DE8F39EB6}"/>
            </c:ext>
          </c:extLst>
        </c:ser>
        <c:ser>
          <c:idx val="3"/>
          <c:order val="3"/>
          <c:tx>
            <c:v>Dicom</c:v>
          </c:tx>
          <c:spPr>
            <a:ln w="9525" cap="rnd">
              <a:solidFill>
                <a:schemeClr val="tx1">
                  <a:lumMod val="75000"/>
                  <a:lumOff val="25000"/>
                </a:schemeClr>
              </a:solidFill>
              <a:round/>
            </a:ln>
            <a:effectLst/>
          </c:spPr>
          <c:marker>
            <c:symbol val="none"/>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(3)'!$Q$32:$Q$48</c:f>
              <c:numCache>
                <c:formatCode>0.0000</c:formatCode>
                <c:ptCount val="17"/>
                <c:pt idx="0">
                  <c:v>0.78026629284801974</c:v>
                </c:pt>
                <c:pt idx="1">
                  <c:v>0.61354261470136617</c:v>
                </c:pt>
                <c:pt idx="2">
                  <c:v>0.51243227249270529</c:v>
                </c:pt>
                <c:pt idx="3">
                  <c:v>0.44552058288711505</c:v>
                </c:pt>
                <c:pt idx="4">
                  <c:v>0.39858547041072295</c:v>
                </c:pt>
                <c:pt idx="5">
                  <c:v>0.36425796997866083</c:v>
                </c:pt>
                <c:pt idx="6">
                  <c:v>0.33835890584706019</c:v>
                </c:pt>
                <c:pt idx="7">
                  <c:v>0.31835097144197033</c:v>
                </c:pt>
                <c:pt idx="8">
                  <c:v>0.30260939244818974</c:v>
                </c:pt>
                <c:pt idx="9">
                  <c:v>0.29004820568041823</c:v>
                </c:pt>
                <c:pt idx="10">
                  <c:v>0.27991555729003642</c:v>
                </c:pt>
                <c:pt idx="11">
                  <c:v>0.27167532339735184</c:v>
                </c:pt>
                <c:pt idx="12">
                  <c:v>0.26493549244190612</c:v>
                </c:pt>
                <c:pt idx="13">
                  <c:v>0.25940315536238517</c:v>
                </c:pt>
                <c:pt idx="14">
                  <c:v>0.25485528038098176</c:v>
                </c:pt>
                <c:pt idx="15">
                  <c:v>0.25111919318729176</c:v>
                </c:pt>
                <c:pt idx="16">
                  <c:v>0.24797369973411781</c:v>
                </c:pt>
              </c:numCache>
            </c:numRef>
          </c:yVal>
          <c:smooth val="1"/>
          <c:extLst>
            <c:ext xmlns:c16="http://schemas.microsoft.com/office/drawing/2014/chart" uri="{C3380CC4-5D6E-409C-BE32-E72D297353CC}">
              <c16:uniqueId val="{00000003-03C2-49F7-82FA-576DE8F39EB6}"/>
            </c:ext>
          </c:extLst>
        </c:ser>
        <c:ser>
          <c:idx val="4"/>
          <c:order val="4"/>
          <c:tx>
            <c:v>-10%</c:v>
          </c:tx>
          <c:spPr>
            <a:ln w="6350" cap="rnd">
              <a:solidFill>
                <a:schemeClr val="bg1">
                  <a:lumMod val="65000"/>
                </a:schemeClr>
              </a:solidFill>
              <a:round/>
            </a:ln>
            <a:effectLst/>
          </c:spPr>
          <c:marker>
            <c:symbol val="none"/>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(3)'!$R$32:$R$48</c:f>
              <c:numCache>
                <c:formatCode>0.000</c:formatCode>
                <c:ptCount val="17"/>
                <c:pt idx="0">
                  <c:v>0.70223966356321776</c:v>
                </c:pt>
                <c:pt idx="1">
                  <c:v>0.55218835323122961</c:v>
                </c:pt>
                <c:pt idx="2">
                  <c:v>0.46118904524343479</c:v>
                </c:pt>
                <c:pt idx="3">
                  <c:v>0.40096852459840354</c:v>
                </c:pt>
                <c:pt idx="4">
                  <c:v>0.35872692336965067</c:v>
                </c:pt>
                <c:pt idx="5">
                  <c:v>0.32783217298079476</c:v>
                </c:pt>
                <c:pt idx="6">
                  <c:v>0.3045230152623542</c:v>
                </c:pt>
                <c:pt idx="7">
                  <c:v>0.28651587429777331</c:v>
                </c:pt>
                <c:pt idx="8">
                  <c:v>0.27234845320337076</c:v>
                </c:pt>
                <c:pt idx="9">
                  <c:v>0.2610433851123764</c:v>
                </c:pt>
                <c:pt idx="10">
                  <c:v>0.25192400156103278</c:v>
                </c:pt>
                <c:pt idx="11">
                  <c:v>0.24450779105761666</c:v>
                </c:pt>
                <c:pt idx="12">
                  <c:v>0.2384419431977155</c:v>
                </c:pt>
                <c:pt idx="13">
                  <c:v>0.23346283982614666</c:v>
                </c:pt>
                <c:pt idx="14">
                  <c:v>0.22936975234288359</c:v>
                </c:pt>
                <c:pt idx="15">
                  <c:v>0.22600727386856259</c:v>
                </c:pt>
                <c:pt idx="16">
                  <c:v>0.22317632976070603</c:v>
                </c:pt>
              </c:numCache>
            </c:numRef>
          </c:yVal>
          <c:smooth val="1"/>
          <c:extLst>
            <c:ext xmlns:c16="http://schemas.microsoft.com/office/drawing/2014/chart" uri="{C3380CC4-5D6E-409C-BE32-E72D297353CC}">
              <c16:uniqueId val="{00000004-03C2-49F7-82FA-576DE8F39EB6}"/>
            </c:ext>
          </c:extLst>
        </c:ser>
        <c:ser>
          <c:idx val="5"/>
          <c:order val="5"/>
          <c:tx>
            <c:v>-20%</c:v>
          </c:tx>
          <c:spPr>
            <a:ln w="6350" cap="rnd">
              <a:solidFill>
                <a:schemeClr val="accent2">
                  <a:lumMod val="75000"/>
                </a:schemeClr>
              </a:solidFill>
              <a:round/>
            </a:ln>
            <a:effectLst/>
          </c:spPr>
          <c:marker>
            <c:symbol val="none"/>
          </c:marker>
          <c:xVal>
            <c:numRef>
              <c:f>'2.14 cMON (3)'!$M$32:$M$48</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(3)'!$S$32:$S$48</c:f>
              <c:numCache>
                <c:formatCode>0.000</c:formatCode>
                <c:ptCount val="17"/>
                <c:pt idx="0">
                  <c:v>0.62421303427841579</c:v>
                </c:pt>
                <c:pt idx="1">
                  <c:v>0.49083409176109294</c:v>
                </c:pt>
                <c:pt idx="2">
                  <c:v>0.40994581799416424</c:v>
                </c:pt>
                <c:pt idx="3">
                  <c:v>0.35641646630969204</c:v>
                </c:pt>
                <c:pt idx="4">
                  <c:v>0.3188683763285784</c:v>
                </c:pt>
                <c:pt idx="5">
                  <c:v>0.29140637598292868</c:v>
                </c:pt>
                <c:pt idx="6">
                  <c:v>0.27068712467764816</c:v>
                </c:pt>
                <c:pt idx="7">
                  <c:v>0.25468077715357629</c:v>
                </c:pt>
                <c:pt idx="8">
                  <c:v>0.2420875139585518</c:v>
                </c:pt>
                <c:pt idx="9">
                  <c:v>0.23203856454433458</c:v>
                </c:pt>
                <c:pt idx="10">
                  <c:v>0.22393244583202915</c:v>
                </c:pt>
                <c:pt idx="11">
                  <c:v>0.21734025871788148</c:v>
                </c:pt>
                <c:pt idx="12">
                  <c:v>0.21194839395352491</c:v>
                </c:pt>
                <c:pt idx="13">
                  <c:v>0.20752252428990814</c:v>
                </c:pt>
                <c:pt idx="14">
                  <c:v>0.20388422430478542</c:v>
                </c:pt>
                <c:pt idx="15">
                  <c:v>0.20089535454983343</c:v>
                </c:pt>
                <c:pt idx="16">
                  <c:v>0.19837895978729425</c:v>
                </c:pt>
              </c:numCache>
            </c:numRef>
          </c:yVal>
          <c:smooth val="1"/>
          <c:extLst>
            <c:ext xmlns:c16="http://schemas.microsoft.com/office/drawing/2014/chart" uri="{C3380CC4-5D6E-409C-BE32-E72D297353CC}">
              <c16:uniqueId val="{00000005-03C2-49F7-82FA-576DE8F39EB6}"/>
            </c:ext>
          </c:extLst>
        </c:ser>
        <c:dLbls>
          <c:showLegendKey val="0"/>
          <c:showVal val="0"/>
          <c:showCatName val="0"/>
          <c:showSerName val="0"/>
          <c:showPercent val="0"/>
          <c:showBubbleSize val="0"/>
        </c:dLbls>
        <c:axId val="128681088"/>
        <c:axId val="128682624"/>
      </c:scatterChart>
      <c:valAx>
        <c:axId val="128681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2624"/>
        <c:crosses val="autoZero"/>
        <c:crossBetween val="midCat"/>
      </c:valAx>
      <c:valAx>
        <c:axId val="128682624"/>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8681088"/>
        <c:crosses val="autoZero"/>
        <c:crossBetween val="midCat"/>
      </c:valAx>
      <c:spPr>
        <a:noFill/>
        <a:ln>
          <a:noFill/>
        </a:ln>
        <a:effectLst/>
      </c:spPr>
    </c:plotArea>
    <c:legend>
      <c:legendPos val="r"/>
      <c:layout>
        <c:manualLayout>
          <c:xMode val="edge"/>
          <c:yMode val="edge"/>
          <c:x val="0.45090704286964128"/>
          <c:y val="8.7645391384900434E-2"/>
          <c:w val="0.38022747156605424"/>
          <c:h val="0.233230474569057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167078719381"/>
          <c:y val="5.1764705882352942E-2"/>
          <c:w val="0.8202921072860615"/>
          <c:h val="0.83906697545159792"/>
        </c:manualLayout>
      </c:layout>
      <c:scatterChart>
        <c:scatterStyle val="smoothMarker"/>
        <c:varyColors val="0"/>
        <c:ser>
          <c:idx val="0"/>
          <c:order val="0"/>
          <c:tx>
            <c:v>moniteur</c:v>
          </c:tx>
          <c:spPr>
            <a:ln w="19050" cap="rnd">
              <a:noFill/>
              <a:round/>
            </a:ln>
            <a:effectLst/>
          </c:spPr>
          <c:marker>
            <c:symbol val="square"/>
            <c:size val="3"/>
            <c:spPr>
              <a:solidFill>
                <a:schemeClr val="accent1"/>
              </a:solidFill>
              <a:ln w="9525">
                <a:noFill/>
              </a:ln>
              <a:effectLst/>
            </c:spPr>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(3)'!$N$10:$N$26</c:f>
              <c:numCache>
                <c:formatCode>0.0000</c:formatCode>
                <c:ptCount val="17"/>
                <c:pt idx="0">
                  <c:v>0.50187265917602997</c:v>
                </c:pt>
                <c:pt idx="1">
                  <c:v>0.67460317460317465</c:v>
                </c:pt>
                <c:pt idx="2">
                  <c:v>0.55674518201284795</c:v>
                </c:pt>
                <c:pt idx="3">
                  <c:v>0.44834307992202732</c:v>
                </c:pt>
                <c:pt idx="4">
                  <c:v>0.45065789473684215</c:v>
                </c:pt>
                <c:pt idx="5">
                  <c:v>0.38482384823848237</c:v>
                </c:pt>
                <c:pt idx="6">
                  <c:v>0.30769230769230771</c:v>
                </c:pt>
                <c:pt idx="7">
                  <c:v>0.3783783783783784</c:v>
                </c:pt>
                <c:pt idx="8">
                  <c:v>0.30769230769230771</c:v>
                </c:pt>
                <c:pt idx="9">
                  <c:v>0.23269513991163471</c:v>
                </c:pt>
                <c:pt idx="10">
                  <c:v>0.28506787330316741</c:v>
                </c:pt>
                <c:pt idx="11">
                  <c:v>0.27350427350427353</c:v>
                </c:pt>
                <c:pt idx="12">
                  <c:v>0.26710097719869708</c:v>
                </c:pt>
                <c:pt idx="13">
                  <c:v>0.26433915211970077</c:v>
                </c:pt>
                <c:pt idx="14">
                  <c:v>0.26717557251908397</c:v>
                </c:pt>
                <c:pt idx="15">
                  <c:v>0.25550660792951541</c:v>
                </c:pt>
                <c:pt idx="16">
                  <c:v>0.26244343891402716</c:v>
                </c:pt>
              </c:numCache>
            </c:numRef>
          </c:yVal>
          <c:smooth val="1"/>
          <c:extLst>
            <c:ext xmlns:c16="http://schemas.microsoft.com/office/drawing/2014/chart" uri="{C3380CC4-5D6E-409C-BE32-E72D297353CC}">
              <c16:uniqueId val="{00000000-D4C5-4FCE-A8AB-B196CD59B6B5}"/>
            </c:ext>
          </c:extLst>
        </c:ser>
        <c:ser>
          <c:idx val="1"/>
          <c:order val="1"/>
          <c:tx>
            <c:v>20%</c:v>
          </c:tx>
          <c:spPr>
            <a:ln w="6350" cap="rnd">
              <a:solidFill>
                <a:schemeClr val="accent2">
                  <a:lumMod val="75000"/>
                </a:schemeClr>
              </a:solidFill>
              <a:round/>
            </a:ln>
            <a:effectLst/>
          </c:spPr>
          <c:marker>
            <c:symbol val="none"/>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(3)'!$O$10:$O$26</c:f>
              <c:numCache>
                <c:formatCode>0.000</c:formatCode>
                <c:ptCount val="17"/>
                <c:pt idx="0">
                  <c:v>0.89234291006587241</c:v>
                </c:pt>
                <c:pt idx="1">
                  <c:v>0.71139746817768124</c:v>
                </c:pt>
                <c:pt idx="2">
                  <c:v>0.59952289689805716</c:v>
                </c:pt>
                <c:pt idx="3">
                  <c:v>0.5246276534053651</c:v>
                </c:pt>
                <c:pt idx="4">
                  <c:v>0.4716755642642117</c:v>
                </c:pt>
                <c:pt idx="5">
                  <c:v>0.43273100428749273</c:v>
                </c:pt>
                <c:pt idx="6">
                  <c:v>0.40323200353134486</c:v>
                </c:pt>
                <c:pt idx="7">
                  <c:v>0.38037990690865647</c:v>
                </c:pt>
                <c:pt idx="8">
                  <c:v>0.36236777357954797</c:v>
                </c:pt>
                <c:pt idx="9">
                  <c:v>0.34797978394603146</c:v>
                </c:pt>
                <c:pt idx="10">
                  <c:v>0.33636949958260126</c:v>
                </c:pt>
                <c:pt idx="11">
                  <c:v>0.32693051931997202</c:v>
                </c:pt>
                <c:pt idx="12">
                  <c:v>0.3192176619243815</c:v>
                </c:pt>
                <c:pt idx="13">
                  <c:v>0.31289712751537785</c:v>
                </c:pt>
                <c:pt idx="14">
                  <c:v>0.30771396645058785</c:v>
                </c:pt>
                <c:pt idx="15">
                  <c:v>0.30347025203431072</c:v>
                </c:pt>
                <c:pt idx="16">
                  <c:v>0.29995889457298885</c:v>
                </c:pt>
              </c:numCache>
            </c:numRef>
          </c:yVal>
          <c:smooth val="1"/>
          <c:extLst>
            <c:ext xmlns:c16="http://schemas.microsoft.com/office/drawing/2014/chart" uri="{C3380CC4-5D6E-409C-BE32-E72D297353CC}">
              <c16:uniqueId val="{00000001-D4C5-4FCE-A8AB-B196CD59B6B5}"/>
            </c:ext>
          </c:extLst>
        </c:ser>
        <c:ser>
          <c:idx val="2"/>
          <c:order val="2"/>
          <c:tx>
            <c:v>10%</c:v>
          </c:tx>
          <c:spPr>
            <a:ln w="6350" cap="rnd">
              <a:solidFill>
                <a:schemeClr val="bg2">
                  <a:lumMod val="75000"/>
                </a:schemeClr>
              </a:solidFill>
              <a:round/>
            </a:ln>
            <a:effectLst/>
          </c:spPr>
          <c:marker>
            <c:symbol val="none"/>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(3)'!$P$10:$P$26</c:f>
              <c:numCache>
                <c:formatCode>0.000</c:formatCode>
                <c:ptCount val="17"/>
                <c:pt idx="0">
                  <c:v>0.8179810008937165</c:v>
                </c:pt>
                <c:pt idx="1">
                  <c:v>0.6521143458295412</c:v>
                </c:pt>
                <c:pt idx="2">
                  <c:v>0.54956265548988581</c:v>
                </c:pt>
                <c:pt idx="3">
                  <c:v>0.4809086822882514</c:v>
                </c:pt>
                <c:pt idx="4">
                  <c:v>0.4323692672421941</c:v>
                </c:pt>
                <c:pt idx="5">
                  <c:v>0.39667008726353503</c:v>
                </c:pt>
                <c:pt idx="6">
                  <c:v>0.36962933657039948</c:v>
                </c:pt>
                <c:pt idx="7">
                  <c:v>0.34868158133293514</c:v>
                </c:pt>
                <c:pt idx="8">
                  <c:v>0.3321704591145857</c:v>
                </c:pt>
                <c:pt idx="9">
                  <c:v>0.31898146861719551</c:v>
                </c:pt>
                <c:pt idx="10">
                  <c:v>0.30833870795071788</c:v>
                </c:pt>
                <c:pt idx="11">
                  <c:v>0.29968630937664109</c:v>
                </c:pt>
                <c:pt idx="12">
                  <c:v>0.29261619009734974</c:v>
                </c:pt>
                <c:pt idx="13">
                  <c:v>0.2868223668890964</c:v>
                </c:pt>
                <c:pt idx="14">
                  <c:v>0.2820711359130389</c:v>
                </c:pt>
                <c:pt idx="15">
                  <c:v>0.27818106436478485</c:v>
                </c:pt>
                <c:pt idx="16">
                  <c:v>0.27496232002523979</c:v>
                </c:pt>
              </c:numCache>
            </c:numRef>
          </c:yVal>
          <c:smooth val="1"/>
          <c:extLst>
            <c:ext xmlns:c16="http://schemas.microsoft.com/office/drawing/2014/chart" uri="{C3380CC4-5D6E-409C-BE32-E72D297353CC}">
              <c16:uniqueId val="{00000002-D4C5-4FCE-A8AB-B196CD59B6B5}"/>
            </c:ext>
          </c:extLst>
        </c:ser>
        <c:ser>
          <c:idx val="3"/>
          <c:order val="3"/>
          <c:tx>
            <c:v>Dicom</c:v>
          </c:tx>
          <c:spPr>
            <a:ln w="9525" cap="rnd">
              <a:solidFill>
                <a:schemeClr val="tx1">
                  <a:lumMod val="75000"/>
                  <a:lumOff val="25000"/>
                </a:schemeClr>
              </a:solidFill>
              <a:round/>
            </a:ln>
            <a:effectLst/>
          </c:spPr>
          <c:marker>
            <c:symbol val="none"/>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(3)'!$Q$10:$Q$26</c:f>
              <c:numCache>
                <c:formatCode>0.0000</c:formatCode>
                <c:ptCount val="17"/>
                <c:pt idx="0">
                  <c:v>0.74361909172156038</c:v>
                </c:pt>
                <c:pt idx="1">
                  <c:v>0.59283122348140105</c:v>
                </c:pt>
                <c:pt idx="2">
                  <c:v>0.49960241408171435</c:v>
                </c:pt>
                <c:pt idx="3">
                  <c:v>0.43718971117113758</c:v>
                </c:pt>
                <c:pt idx="4">
                  <c:v>0.39306297022017644</c:v>
                </c:pt>
                <c:pt idx="5">
                  <c:v>0.36060917023957728</c:v>
                </c:pt>
                <c:pt idx="6">
                  <c:v>0.33602666960945404</c:v>
                </c:pt>
                <c:pt idx="7">
                  <c:v>0.31698325575721376</c:v>
                </c:pt>
                <c:pt idx="8">
                  <c:v>0.30197314464962333</c:v>
                </c:pt>
                <c:pt idx="9">
                  <c:v>0.28998315328835955</c:v>
                </c:pt>
                <c:pt idx="10">
                  <c:v>0.28030791631883439</c:v>
                </c:pt>
                <c:pt idx="11">
                  <c:v>0.27244209943331005</c:v>
                </c:pt>
                <c:pt idx="12">
                  <c:v>0.26601471827031792</c:v>
                </c:pt>
                <c:pt idx="13">
                  <c:v>0.2607476062628149</c:v>
                </c:pt>
                <c:pt idx="14">
                  <c:v>0.25642830537548988</c:v>
                </c:pt>
                <c:pt idx="15">
                  <c:v>0.25289187669525892</c:v>
                </c:pt>
                <c:pt idx="16">
                  <c:v>0.2499657454774907</c:v>
                </c:pt>
              </c:numCache>
            </c:numRef>
          </c:yVal>
          <c:smooth val="1"/>
          <c:extLst>
            <c:ext xmlns:c16="http://schemas.microsoft.com/office/drawing/2014/chart" uri="{C3380CC4-5D6E-409C-BE32-E72D297353CC}">
              <c16:uniqueId val="{00000003-D4C5-4FCE-A8AB-B196CD59B6B5}"/>
            </c:ext>
          </c:extLst>
        </c:ser>
        <c:ser>
          <c:idx val="4"/>
          <c:order val="4"/>
          <c:tx>
            <c:v>-10%</c:v>
          </c:tx>
          <c:spPr>
            <a:ln w="6350" cap="rnd">
              <a:solidFill>
                <a:schemeClr val="bg1">
                  <a:lumMod val="65000"/>
                </a:schemeClr>
              </a:solidFill>
              <a:round/>
            </a:ln>
            <a:effectLst/>
          </c:spPr>
          <c:marker>
            <c:symbol val="none"/>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(3)'!$R$10:$R$26</c:f>
              <c:numCache>
                <c:formatCode>0.000</c:formatCode>
                <c:ptCount val="17"/>
                <c:pt idx="0">
                  <c:v>0.66925718254940436</c:v>
                </c:pt>
                <c:pt idx="1">
                  <c:v>0.53354810113326101</c:v>
                </c:pt>
                <c:pt idx="2">
                  <c:v>0.44964217267354295</c:v>
                </c:pt>
                <c:pt idx="3">
                  <c:v>0.39347074005402383</c:v>
                </c:pt>
                <c:pt idx="4">
                  <c:v>0.35375667319815879</c:v>
                </c:pt>
                <c:pt idx="5">
                  <c:v>0.32454825321561959</c:v>
                </c:pt>
                <c:pt idx="6">
                  <c:v>0.30242400264850866</c:v>
                </c:pt>
                <c:pt idx="7">
                  <c:v>0.28528493018149237</c:v>
                </c:pt>
                <c:pt idx="8">
                  <c:v>0.271775830184661</c:v>
                </c:pt>
                <c:pt idx="9">
                  <c:v>0.2609848379595236</c:v>
                </c:pt>
                <c:pt idx="10">
                  <c:v>0.25227712468695096</c:v>
                </c:pt>
                <c:pt idx="11">
                  <c:v>0.24519788948997906</c:v>
                </c:pt>
                <c:pt idx="12">
                  <c:v>0.23941324644328613</c:v>
                </c:pt>
                <c:pt idx="13">
                  <c:v>0.23467284563653343</c:v>
                </c:pt>
                <c:pt idx="14">
                  <c:v>0.2307854748379409</c:v>
                </c:pt>
                <c:pt idx="15">
                  <c:v>0.22760268902573302</c:v>
                </c:pt>
                <c:pt idx="16">
                  <c:v>0.22496917092974164</c:v>
                </c:pt>
              </c:numCache>
            </c:numRef>
          </c:yVal>
          <c:smooth val="1"/>
          <c:extLst>
            <c:ext xmlns:c16="http://schemas.microsoft.com/office/drawing/2014/chart" uri="{C3380CC4-5D6E-409C-BE32-E72D297353CC}">
              <c16:uniqueId val="{00000004-D4C5-4FCE-A8AB-B196CD59B6B5}"/>
            </c:ext>
          </c:extLst>
        </c:ser>
        <c:ser>
          <c:idx val="5"/>
          <c:order val="5"/>
          <c:tx>
            <c:v>-20%</c:v>
          </c:tx>
          <c:spPr>
            <a:ln w="6350" cap="rnd">
              <a:solidFill>
                <a:schemeClr val="accent2">
                  <a:lumMod val="75000"/>
                </a:schemeClr>
              </a:solidFill>
              <a:round/>
            </a:ln>
            <a:effectLst/>
          </c:spPr>
          <c:marker>
            <c:symbol val="none"/>
          </c:marker>
          <c:xVal>
            <c:numRef>
              <c:f>'2.14 cMON (3)'!$M$10:$M$26</c:f>
              <c:numCache>
                <c:formatCode>General</c:formatCode>
                <c:ptCount val="17"/>
                <c:pt idx="0">
                  <c:v>240</c:v>
                </c:pt>
                <c:pt idx="1">
                  <c:v>480</c:v>
                </c:pt>
                <c:pt idx="2">
                  <c:v>720</c:v>
                </c:pt>
                <c:pt idx="3">
                  <c:v>960</c:v>
                </c:pt>
                <c:pt idx="4">
                  <c:v>1200</c:v>
                </c:pt>
                <c:pt idx="5">
                  <c:v>1440</c:v>
                </c:pt>
                <c:pt idx="6">
                  <c:v>1680</c:v>
                </c:pt>
                <c:pt idx="7">
                  <c:v>1920</c:v>
                </c:pt>
                <c:pt idx="8">
                  <c:v>2160</c:v>
                </c:pt>
                <c:pt idx="9">
                  <c:v>2400</c:v>
                </c:pt>
                <c:pt idx="10">
                  <c:v>2640</c:v>
                </c:pt>
                <c:pt idx="11">
                  <c:v>2880</c:v>
                </c:pt>
                <c:pt idx="12">
                  <c:v>3120</c:v>
                </c:pt>
                <c:pt idx="13">
                  <c:v>3360</c:v>
                </c:pt>
                <c:pt idx="14">
                  <c:v>3600</c:v>
                </c:pt>
                <c:pt idx="15">
                  <c:v>3840</c:v>
                </c:pt>
                <c:pt idx="16">
                  <c:v>4080</c:v>
                </c:pt>
              </c:numCache>
            </c:numRef>
          </c:xVal>
          <c:yVal>
            <c:numRef>
              <c:f>'2.14 cMON (3)'!$S$10:$S$26</c:f>
              <c:numCache>
                <c:formatCode>0.000</c:formatCode>
                <c:ptCount val="17"/>
                <c:pt idx="0">
                  <c:v>0.59489527337724835</c:v>
                </c:pt>
                <c:pt idx="1">
                  <c:v>0.47426497878512086</c:v>
                </c:pt>
                <c:pt idx="2">
                  <c:v>0.39968193126537149</c:v>
                </c:pt>
                <c:pt idx="3">
                  <c:v>0.34975176893691007</c:v>
                </c:pt>
                <c:pt idx="4">
                  <c:v>0.31445037617614119</c:v>
                </c:pt>
                <c:pt idx="5">
                  <c:v>0.28848733619166184</c:v>
                </c:pt>
                <c:pt idx="6">
                  <c:v>0.26882133568756322</c:v>
                </c:pt>
                <c:pt idx="7">
                  <c:v>0.25358660460577104</c:v>
                </c:pt>
                <c:pt idx="8">
                  <c:v>0.24157851571969868</c:v>
                </c:pt>
                <c:pt idx="9">
                  <c:v>0.23198652263068764</c:v>
                </c:pt>
                <c:pt idx="10">
                  <c:v>0.22424633305506753</c:v>
                </c:pt>
                <c:pt idx="11">
                  <c:v>0.21795367954664804</c:v>
                </c:pt>
                <c:pt idx="12">
                  <c:v>0.21281177461625433</c:v>
                </c:pt>
                <c:pt idx="13">
                  <c:v>0.20859808501025193</c:v>
                </c:pt>
                <c:pt idx="14">
                  <c:v>0.20514264430039192</c:v>
                </c:pt>
                <c:pt idx="15">
                  <c:v>0.20231350135620715</c:v>
                </c:pt>
                <c:pt idx="16">
                  <c:v>0.19997259638199258</c:v>
                </c:pt>
              </c:numCache>
            </c:numRef>
          </c:yVal>
          <c:smooth val="1"/>
          <c:extLst>
            <c:ext xmlns:c16="http://schemas.microsoft.com/office/drawing/2014/chart" uri="{C3380CC4-5D6E-409C-BE32-E72D297353CC}">
              <c16:uniqueId val="{00000005-D4C5-4FCE-A8AB-B196CD59B6B5}"/>
            </c:ext>
          </c:extLst>
        </c:ser>
        <c:dLbls>
          <c:showLegendKey val="0"/>
          <c:showVal val="0"/>
          <c:showCatName val="0"/>
          <c:showSerName val="0"/>
          <c:showPercent val="0"/>
          <c:showBubbleSize val="0"/>
        </c:dLbls>
        <c:axId val="131961600"/>
        <c:axId val="131963136"/>
      </c:scatterChart>
      <c:valAx>
        <c:axId val="131961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3136"/>
        <c:crosses val="autoZero"/>
        <c:crossBetween val="midCat"/>
      </c:valAx>
      <c:valAx>
        <c:axId val="131963136"/>
        <c:scaling>
          <c:orientation val="minMax"/>
        </c:scaling>
        <c:delete val="0"/>
        <c:axPos val="l"/>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961600"/>
        <c:crosses val="autoZero"/>
        <c:crossBetween val="midCat"/>
      </c:valAx>
      <c:spPr>
        <a:noFill/>
        <a:ln>
          <a:noFill/>
        </a:ln>
        <a:effectLst/>
      </c:spPr>
    </c:plotArea>
    <c:legend>
      <c:legendPos val="r"/>
      <c:layout>
        <c:manualLayout>
          <c:xMode val="edge"/>
          <c:yMode val="edge"/>
          <c:x val="0.42982818440570919"/>
          <c:y val="8.7645391384900434E-2"/>
          <c:w val="0.40130638023809029"/>
          <c:h val="0.23984123935727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779145</xdr:colOff>
      <xdr:row>2</xdr:row>
      <xdr:rowOff>55245</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0" y="0"/>
          <a:ext cx="151447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182335</xdr:colOff>
      <xdr:row>21</xdr:row>
      <xdr:rowOff>18870</xdr:rowOff>
    </xdr:from>
    <xdr:to>
      <xdr:col>3</xdr:col>
      <xdr:colOff>76200</xdr:colOff>
      <xdr:row>30</xdr:row>
      <xdr:rowOff>113211</xdr:rowOff>
    </xdr:to>
    <xdr:graphicFrame macro="">
      <xdr:nvGraphicFramePr>
        <xdr:cNvPr id="2" name="Graphique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305707</xdr:colOff>
      <xdr:row>21</xdr:row>
      <xdr:rowOff>22314</xdr:rowOff>
    </xdr:from>
    <xdr:to>
      <xdr:col>6</xdr:col>
      <xdr:colOff>260350</xdr:colOff>
      <xdr:row>30</xdr:row>
      <xdr:rowOff>125730</xdr:rowOff>
    </xdr:to>
    <xdr:graphicFrame macro="">
      <xdr:nvGraphicFramePr>
        <xdr:cNvPr id="4" name="Graphique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518160</xdr:colOff>
      <xdr:row>21</xdr:row>
      <xdr:rowOff>31749</xdr:rowOff>
    </xdr:from>
    <xdr:to>
      <xdr:col>9</xdr:col>
      <xdr:colOff>800100</xdr:colOff>
      <xdr:row>30</xdr:row>
      <xdr:rowOff>136071</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266700</xdr:colOff>
      <xdr:row>12</xdr:row>
      <xdr:rowOff>101600</xdr:rowOff>
    </xdr:from>
    <xdr:to>
      <xdr:col>19</xdr:col>
      <xdr:colOff>114300</xdr:colOff>
      <xdr:row>17</xdr:row>
      <xdr:rowOff>97155</xdr:rowOff>
    </xdr:to>
    <xdr:pic>
      <xdr:nvPicPr>
        <xdr:cNvPr id="7" name="Image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75800" y="2463800"/>
          <a:ext cx="5943600" cy="97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34290</xdr:colOff>
      <xdr:row>21</xdr:row>
      <xdr:rowOff>38100</xdr:rowOff>
    </xdr:from>
    <xdr:to>
      <xdr:col>4</xdr:col>
      <xdr:colOff>952500</xdr:colOff>
      <xdr:row>34</xdr:row>
      <xdr:rowOff>167640</xdr:rowOff>
    </xdr:to>
    <xdr:graphicFrame macro="">
      <xdr:nvGraphicFramePr>
        <xdr:cNvPr id="3" name="Graphique 2">
          <a:extLst>
            <a:ext uri="{FF2B5EF4-FFF2-40B4-BE49-F238E27FC236}">
              <a16:creationId xmlns:a16="http://schemas.microsoft.com/office/drawing/2014/main" id="{52B492EA-247F-4A99-A5AE-EBAC48C31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167640</xdr:colOff>
      <xdr:row>21</xdr:row>
      <xdr:rowOff>38098</xdr:rowOff>
    </xdr:from>
    <xdr:to>
      <xdr:col>9</xdr:col>
      <xdr:colOff>419100</xdr:colOff>
      <xdr:row>34</xdr:row>
      <xdr:rowOff>167639</xdr:rowOff>
    </xdr:to>
    <xdr:graphicFrame macro="">
      <xdr:nvGraphicFramePr>
        <xdr:cNvPr id="4" name="Graphique 3">
          <a:extLst>
            <a:ext uri="{FF2B5EF4-FFF2-40B4-BE49-F238E27FC236}">
              <a16:creationId xmlns:a16="http://schemas.microsoft.com/office/drawing/2014/main" id="{06802579-0F1F-4A5B-9160-14DED0383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118110</xdr:colOff>
      <xdr:row>21</xdr:row>
      <xdr:rowOff>13970</xdr:rowOff>
    </xdr:from>
    <xdr:to>
      <xdr:col>15</xdr:col>
      <xdr:colOff>784860</xdr:colOff>
      <xdr:row>34</xdr:row>
      <xdr:rowOff>121920</xdr:rowOff>
    </xdr:to>
    <xdr:graphicFrame macro="">
      <xdr:nvGraphicFramePr>
        <xdr:cNvPr id="5" name="Graphique 4">
          <a:extLst>
            <a:ext uri="{FF2B5EF4-FFF2-40B4-BE49-F238E27FC236}">
              <a16:creationId xmlns:a16="http://schemas.microsoft.com/office/drawing/2014/main" id="{DB0B4FBC-DACB-416A-ABC7-2CF7331333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266700</xdr:colOff>
      <xdr:row>8</xdr:row>
      <xdr:rowOff>101600</xdr:rowOff>
    </xdr:from>
    <xdr:to>
      <xdr:col>18</xdr:col>
      <xdr:colOff>438150</xdr:colOff>
      <xdr:row>13</xdr:row>
      <xdr:rowOff>130175</xdr:rowOff>
    </xdr:to>
    <xdr:pic>
      <xdr:nvPicPr>
        <xdr:cNvPr id="6" name="Image 5">
          <a:extLst>
            <a:ext uri="{FF2B5EF4-FFF2-40B4-BE49-F238E27FC236}">
              <a16:creationId xmlns:a16="http://schemas.microsoft.com/office/drawing/2014/main" id="{1EF0A783-F2D0-4133-A97B-50B2B767FA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29800" y="1717040"/>
          <a:ext cx="5734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4</xdr:row>
      <xdr:rowOff>0</xdr:rowOff>
    </xdr:from>
    <xdr:to>
      <xdr:col>8</xdr:col>
      <xdr:colOff>16510</xdr:colOff>
      <xdr:row>13</xdr:row>
      <xdr:rowOff>152400</xdr:rowOff>
    </xdr:to>
    <xdr:sp macro="" textlink="">
      <xdr:nvSpPr>
        <xdr:cNvPr id="2" name="AutoShape 1">
          <a:extLst>
            <a:ext uri="{FF2B5EF4-FFF2-40B4-BE49-F238E27FC236}">
              <a16:creationId xmlns:a16="http://schemas.microsoft.com/office/drawing/2014/main" id="{4128CCC4-1358-451E-B9CE-CF8D363C2040}"/>
            </a:ext>
          </a:extLst>
        </xdr:cNvPr>
        <xdr:cNvSpPr>
          <a:spLocks noChangeAspect="1" noChangeArrowheads="1"/>
        </xdr:cNvSpPr>
      </xdr:nvSpPr>
      <xdr:spPr bwMode="auto">
        <a:xfrm>
          <a:off x="6088380" y="670560"/>
          <a:ext cx="1971040" cy="167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97117</xdr:colOff>
      <xdr:row>4</xdr:row>
      <xdr:rowOff>192530</xdr:rowOff>
    </xdr:from>
    <xdr:to>
      <xdr:col>8</xdr:col>
      <xdr:colOff>56</xdr:colOff>
      <xdr:row>13</xdr:row>
      <xdr:rowOff>134095</xdr:rowOff>
    </xdr:to>
    <xdr:grpSp>
      <xdr:nvGrpSpPr>
        <xdr:cNvPr id="3" name="Groupe 2">
          <a:extLst>
            <a:ext uri="{FF2B5EF4-FFF2-40B4-BE49-F238E27FC236}">
              <a16:creationId xmlns:a16="http://schemas.microsoft.com/office/drawing/2014/main" id="{728BEC12-EC2E-4E8B-9FC7-027BBF9CCA9A}"/>
            </a:ext>
          </a:extLst>
        </xdr:cNvPr>
        <xdr:cNvGrpSpPr/>
      </xdr:nvGrpSpPr>
      <xdr:grpSpPr>
        <a:xfrm>
          <a:off x="4669117" y="863090"/>
          <a:ext cx="3377659" cy="1465565"/>
          <a:chOff x="4564529" y="849942"/>
          <a:chExt cx="3453859" cy="1435682"/>
        </a:xfrm>
      </xdr:grpSpPr>
      <xdr:pic>
        <xdr:nvPicPr>
          <xdr:cNvPr id="4" name="Image 3">
            <a:extLst>
              <a:ext uri="{FF2B5EF4-FFF2-40B4-BE49-F238E27FC236}">
                <a16:creationId xmlns:a16="http://schemas.microsoft.com/office/drawing/2014/main" id="{20CF1EDA-8A94-4C4F-ABD1-B8DF3D9008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312" y="862298"/>
            <a:ext cx="1684076" cy="14036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 4">
            <a:extLst>
              <a:ext uri="{FF2B5EF4-FFF2-40B4-BE49-F238E27FC236}">
                <a16:creationId xmlns:a16="http://schemas.microsoft.com/office/drawing/2014/main" id="{152C1D01-AA49-4D4E-887D-8D38E3758D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4529" y="849942"/>
            <a:ext cx="1733178" cy="14356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647700</xdr:colOff>
      <xdr:row>4</xdr:row>
      <xdr:rowOff>0</xdr:rowOff>
    </xdr:from>
    <xdr:to>
      <xdr:col>8</xdr:col>
      <xdr:colOff>12700</xdr:colOff>
      <xdr:row>13</xdr:row>
      <xdr:rowOff>152400</xdr:rowOff>
    </xdr:to>
    <xdr:sp macro="" textlink="">
      <xdr:nvSpPr>
        <xdr:cNvPr id="2" name="AutoShape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000750" y="1263650"/>
          <a:ext cx="2032000" cy="165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97117</xdr:colOff>
      <xdr:row>4</xdr:row>
      <xdr:rowOff>192530</xdr:rowOff>
    </xdr:from>
    <xdr:to>
      <xdr:col>7</xdr:col>
      <xdr:colOff>883976</xdr:colOff>
      <xdr:row>13</xdr:row>
      <xdr:rowOff>134095</xdr:rowOff>
    </xdr:to>
    <xdr:grpSp>
      <xdr:nvGrpSpPr>
        <xdr:cNvPr id="3" name="Groupe 2">
          <a:extLst>
            <a:ext uri="{FF2B5EF4-FFF2-40B4-BE49-F238E27FC236}">
              <a16:creationId xmlns:a16="http://schemas.microsoft.com/office/drawing/2014/main" id="{00000000-0008-0000-0800-000003000000}"/>
            </a:ext>
          </a:extLst>
        </xdr:cNvPr>
        <xdr:cNvGrpSpPr/>
      </xdr:nvGrpSpPr>
      <xdr:grpSpPr>
        <a:xfrm>
          <a:off x="4669117" y="863090"/>
          <a:ext cx="3377659" cy="1465565"/>
          <a:chOff x="4564529" y="849942"/>
          <a:chExt cx="3453859" cy="1435682"/>
        </a:xfrm>
      </xdr:grpSpPr>
      <xdr:pic>
        <xdr:nvPicPr>
          <xdr:cNvPr id="9" name="Image 8">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312" y="862298"/>
            <a:ext cx="1684076" cy="14036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4529" y="849942"/>
            <a:ext cx="1733178" cy="143568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457200</xdr:colOff>
      <xdr:row>11</xdr:row>
      <xdr:rowOff>0</xdr:rowOff>
    </xdr:from>
    <xdr:to>
      <xdr:col>15</xdr:col>
      <xdr:colOff>527050</xdr:colOff>
      <xdr:row>14</xdr:row>
      <xdr:rowOff>76200</xdr:rowOff>
    </xdr:to>
    <xdr:cxnSp macro="">
      <xdr:nvCxnSpPr>
        <xdr:cNvPr id="3" name="Connecteur droit avec flèche 2">
          <a:extLst>
            <a:ext uri="{FF2B5EF4-FFF2-40B4-BE49-F238E27FC236}">
              <a16:creationId xmlns:a16="http://schemas.microsoft.com/office/drawing/2014/main" id="{00000000-0008-0000-0900-000003000000}"/>
            </a:ext>
          </a:extLst>
        </xdr:cNvPr>
        <xdr:cNvCxnSpPr/>
      </xdr:nvCxnSpPr>
      <xdr:spPr>
        <a:xfrm>
          <a:off x="10464800" y="1841500"/>
          <a:ext cx="2165350" cy="57785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13969</xdr:colOff>
      <xdr:row>5</xdr:row>
      <xdr:rowOff>61596</xdr:rowOff>
    </xdr:from>
    <xdr:to>
      <xdr:col>14</xdr:col>
      <xdr:colOff>167640</xdr:colOff>
      <xdr:row>7</xdr:row>
      <xdr:rowOff>93345</xdr:rowOff>
    </xdr:to>
    <xdr:pic>
      <xdr:nvPicPr>
        <xdr:cNvPr id="2" name="Imag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7929" y="975996"/>
          <a:ext cx="4439921" cy="407034"/>
        </a:xfrm>
        <a:prstGeom prst="rect">
          <a:avLst/>
        </a:prstGeom>
        <a:solidFill>
          <a:srgbClr val="FFFF00"/>
        </a:solidFill>
      </xdr:spPr>
    </xdr:pic>
    <xdr:clientData/>
  </xdr:twoCellAnchor>
  <xdr:twoCellAnchor>
    <xdr:from>
      <xdr:col>4</xdr:col>
      <xdr:colOff>213361</xdr:colOff>
      <xdr:row>2</xdr:row>
      <xdr:rowOff>49007</xdr:rowOff>
    </xdr:from>
    <xdr:to>
      <xdr:col>8</xdr:col>
      <xdr:colOff>640081</xdr:colOff>
      <xdr:row>13</xdr:row>
      <xdr:rowOff>160020</xdr:rowOff>
    </xdr:to>
    <xdr:graphicFrame macro="">
      <xdr:nvGraphicFramePr>
        <xdr:cNvPr id="7" name="Graphique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12</xdr:row>
      <xdr:rowOff>142875</xdr:rowOff>
    </xdr:from>
    <xdr:to>
      <xdr:col>13</xdr:col>
      <xdr:colOff>219075</xdr:colOff>
      <xdr:row>14</xdr:row>
      <xdr:rowOff>123825</xdr:rowOff>
    </xdr:to>
    <xdr:pic>
      <xdr:nvPicPr>
        <xdr:cNvPr id="2" name="Imag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56775" y="2365375"/>
          <a:ext cx="2590800" cy="34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390525</xdr:colOff>
      <xdr:row>30</xdr:row>
      <xdr:rowOff>28575</xdr:rowOff>
    </xdr:from>
    <xdr:to>
      <xdr:col>11</xdr:col>
      <xdr:colOff>314325</xdr:colOff>
      <xdr:row>32</xdr:row>
      <xdr:rowOff>19050</xdr:rowOff>
    </xdr:to>
    <xdr:pic>
      <xdr:nvPicPr>
        <xdr:cNvPr id="3" name="Imag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18625" y="5578475"/>
          <a:ext cx="1524000" cy="35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66675</xdr:colOff>
      <xdr:row>30</xdr:row>
      <xdr:rowOff>38100</xdr:rowOff>
    </xdr:from>
    <xdr:to>
      <xdr:col>13</xdr:col>
      <xdr:colOff>752475</xdr:colOff>
      <xdr:row>32</xdr:row>
      <xdr:rowOff>28575</xdr:rowOff>
    </xdr:to>
    <xdr:pic>
      <xdr:nvPicPr>
        <xdr:cNvPr id="4" name="Imag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395075" y="5588000"/>
          <a:ext cx="1485900" cy="35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662940</xdr:colOff>
      <xdr:row>54</xdr:row>
      <xdr:rowOff>118754</xdr:rowOff>
    </xdr:from>
    <xdr:to>
      <xdr:col>15</xdr:col>
      <xdr:colOff>434340</xdr:colOff>
      <xdr:row>63</xdr:row>
      <xdr:rowOff>152404</xdr:rowOff>
    </xdr:to>
    <xdr:sp macro="" textlink="">
      <xdr:nvSpPr>
        <xdr:cNvPr id="5" name="Demi-tour 4">
          <a:extLst>
            <a:ext uri="{FF2B5EF4-FFF2-40B4-BE49-F238E27FC236}">
              <a16:creationId xmlns:a16="http://schemas.microsoft.com/office/drawing/2014/main" id="{00000000-0008-0000-0C00-000005000000}"/>
            </a:ext>
          </a:extLst>
        </xdr:cNvPr>
        <xdr:cNvSpPr/>
      </xdr:nvSpPr>
      <xdr:spPr>
        <a:xfrm rot="5400000">
          <a:off x="11135045" y="10106349"/>
          <a:ext cx="2068190" cy="1965960"/>
        </a:xfrm>
        <a:prstGeom prst="uturnArrow">
          <a:avLst>
            <a:gd name="adj1" fmla="val 0"/>
            <a:gd name="adj2" fmla="val 5149"/>
            <a:gd name="adj3" fmla="val 5297"/>
            <a:gd name="adj4" fmla="val 47753"/>
            <a:gd name="adj5" fmla="val 66013"/>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solidFill>
              <a:schemeClr val="tx1"/>
            </a:solidFill>
          </a:endParaRPr>
        </a:p>
      </xdr:txBody>
    </xdr:sp>
    <xdr:clientData/>
  </xdr:twoCellAnchor>
  <xdr:twoCellAnchor>
    <xdr:from>
      <xdr:col>11</xdr:col>
      <xdr:colOff>504825</xdr:colOff>
      <xdr:row>49</xdr:row>
      <xdr:rowOff>180975</xdr:rowOff>
    </xdr:from>
    <xdr:to>
      <xdr:col>12</xdr:col>
      <xdr:colOff>0</xdr:colOff>
      <xdr:row>59</xdr:row>
      <xdr:rowOff>19050</xdr:rowOff>
    </xdr:to>
    <xdr:sp macro="" textlink="">
      <xdr:nvSpPr>
        <xdr:cNvPr id="6" name="Accolade fermante 5">
          <a:extLst>
            <a:ext uri="{FF2B5EF4-FFF2-40B4-BE49-F238E27FC236}">
              <a16:creationId xmlns:a16="http://schemas.microsoft.com/office/drawing/2014/main" id="{00000000-0008-0000-0C00-000006000000}"/>
            </a:ext>
          </a:extLst>
        </xdr:cNvPr>
        <xdr:cNvSpPr/>
      </xdr:nvSpPr>
      <xdr:spPr>
        <a:xfrm>
          <a:off x="11033125" y="9242425"/>
          <a:ext cx="295275" cy="1698625"/>
        </a:xfrm>
        <a:prstGeom prst="rightBrace">
          <a:avLst>
            <a:gd name="adj1" fmla="val 19444"/>
            <a:gd name="adj2" fmla="val 5000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13</xdr:col>
      <xdr:colOff>148590</xdr:colOff>
      <xdr:row>61</xdr:row>
      <xdr:rowOff>432435</xdr:rowOff>
    </xdr:from>
    <xdr:to>
      <xdr:col>13</xdr:col>
      <xdr:colOff>405765</xdr:colOff>
      <xdr:row>65</xdr:row>
      <xdr:rowOff>22860</xdr:rowOff>
    </xdr:to>
    <xdr:sp macro="" textlink="">
      <xdr:nvSpPr>
        <xdr:cNvPr id="7" name="Accolade fermante 6">
          <a:extLst>
            <a:ext uri="{FF2B5EF4-FFF2-40B4-BE49-F238E27FC236}">
              <a16:creationId xmlns:a16="http://schemas.microsoft.com/office/drawing/2014/main" id="{00000000-0008-0000-0C00-000007000000}"/>
            </a:ext>
          </a:extLst>
        </xdr:cNvPr>
        <xdr:cNvSpPr/>
      </xdr:nvSpPr>
      <xdr:spPr>
        <a:xfrm>
          <a:off x="11403330" y="11671935"/>
          <a:ext cx="257175" cy="695325"/>
        </a:xfrm>
        <a:prstGeom prst="rightBrace">
          <a:avLst>
            <a:gd name="adj1" fmla="val 19444"/>
            <a:gd name="adj2" fmla="val 5000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A" sz="1100"/>
        </a:p>
      </xdr:txBody>
    </xdr:sp>
    <xdr:clientData/>
  </xdr:twoCellAnchor>
  <xdr:twoCellAnchor>
    <xdr:from>
      <xdr:col>20</xdr:col>
      <xdr:colOff>117475</xdr:colOff>
      <xdr:row>87</xdr:row>
      <xdr:rowOff>339725</xdr:rowOff>
    </xdr:from>
    <xdr:to>
      <xdr:col>26</xdr:col>
      <xdr:colOff>117475</xdr:colOff>
      <xdr:row>101</xdr:row>
      <xdr:rowOff>130175</xdr:rowOff>
    </xdr:to>
    <xdr:graphicFrame macro="">
      <xdr:nvGraphicFramePr>
        <xdr:cNvPr id="9" name="Graphique 8">
          <a:extLst>
            <a:ext uri="{FF2B5EF4-FFF2-40B4-BE49-F238E27FC236}">
              <a16:creationId xmlns:a16="http://schemas.microsoft.com/office/drawing/2014/main" id="{00000000-0008-0000-0C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422274</xdr:colOff>
      <xdr:row>29</xdr:row>
      <xdr:rowOff>155575</xdr:rowOff>
    </xdr:from>
    <xdr:to>
      <xdr:col>9</xdr:col>
      <xdr:colOff>647699</xdr:colOff>
      <xdr:row>43</xdr:row>
      <xdr:rowOff>15875</xdr:rowOff>
    </xdr:to>
    <xdr:graphicFrame macro="[0]!Graphique1_Cliquer">
      <xdr:nvGraphicFramePr>
        <xdr:cNvPr id="2" name="Graphique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402590</xdr:colOff>
      <xdr:row>8</xdr:row>
      <xdr:rowOff>12700</xdr:rowOff>
    </xdr:from>
    <xdr:to>
      <xdr:col>9</xdr:col>
      <xdr:colOff>643890</xdr:colOff>
      <xdr:row>21</xdr:row>
      <xdr:rowOff>44450</xdr:rowOff>
    </xdr:to>
    <xdr:graphicFrame macro="">
      <xdr:nvGraphicFramePr>
        <xdr:cNvPr id="3" name="Graphique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422274</xdr:colOff>
      <xdr:row>29</xdr:row>
      <xdr:rowOff>155575</xdr:rowOff>
    </xdr:from>
    <xdr:to>
      <xdr:col>9</xdr:col>
      <xdr:colOff>647699</xdr:colOff>
      <xdr:row>43</xdr:row>
      <xdr:rowOff>15875</xdr:rowOff>
    </xdr:to>
    <xdr:graphicFrame macro="[0]!Graphique1_Cliquer">
      <xdr:nvGraphicFramePr>
        <xdr:cNvPr id="2" name="Graphique 1">
          <a:extLst>
            <a:ext uri="{FF2B5EF4-FFF2-40B4-BE49-F238E27FC236}">
              <a16:creationId xmlns:a16="http://schemas.microsoft.com/office/drawing/2014/main" id="{7F29DB98-AC5F-406B-B875-B71F6D0DC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402590</xdr:colOff>
      <xdr:row>8</xdr:row>
      <xdr:rowOff>12700</xdr:rowOff>
    </xdr:from>
    <xdr:to>
      <xdr:col>9</xdr:col>
      <xdr:colOff>643890</xdr:colOff>
      <xdr:row>21</xdr:row>
      <xdr:rowOff>44450</xdr:rowOff>
    </xdr:to>
    <xdr:graphicFrame macro="">
      <xdr:nvGraphicFramePr>
        <xdr:cNvPr id="3" name="Graphique 2">
          <a:extLst>
            <a:ext uri="{FF2B5EF4-FFF2-40B4-BE49-F238E27FC236}">
              <a16:creationId xmlns:a16="http://schemas.microsoft.com/office/drawing/2014/main" id="{FFC46B32-E0B7-4F09-8F28-346C187E6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422274</xdr:colOff>
      <xdr:row>29</xdr:row>
      <xdr:rowOff>155575</xdr:rowOff>
    </xdr:from>
    <xdr:to>
      <xdr:col>9</xdr:col>
      <xdr:colOff>647699</xdr:colOff>
      <xdr:row>43</xdr:row>
      <xdr:rowOff>15875</xdr:rowOff>
    </xdr:to>
    <xdr:graphicFrame macro="[0]!Graphique1_Cliquer">
      <xdr:nvGraphicFramePr>
        <xdr:cNvPr id="2" name="Graphique 1">
          <a:extLst>
            <a:ext uri="{FF2B5EF4-FFF2-40B4-BE49-F238E27FC236}">
              <a16:creationId xmlns:a16="http://schemas.microsoft.com/office/drawing/2014/main" id="{DAD55A85-ECBF-42D9-9BC5-900F3FF87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402590</xdr:colOff>
      <xdr:row>8</xdr:row>
      <xdr:rowOff>12700</xdr:rowOff>
    </xdr:from>
    <xdr:to>
      <xdr:col>9</xdr:col>
      <xdr:colOff>643890</xdr:colOff>
      <xdr:row>21</xdr:row>
      <xdr:rowOff>44450</xdr:rowOff>
    </xdr:to>
    <xdr:graphicFrame macro="">
      <xdr:nvGraphicFramePr>
        <xdr:cNvPr id="3" name="Graphique 2">
          <a:extLst>
            <a:ext uri="{FF2B5EF4-FFF2-40B4-BE49-F238E27FC236}">
              <a16:creationId xmlns:a16="http://schemas.microsoft.com/office/drawing/2014/main" id="{2446B04D-0E17-44BC-A94B-DB5396CFB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38100</xdr:colOff>
      <xdr:row>2</xdr:row>
      <xdr:rowOff>133350</xdr:rowOff>
    </xdr:from>
    <xdr:to>
      <xdr:col>7</xdr:col>
      <xdr:colOff>698815</xdr:colOff>
      <xdr:row>9</xdr:row>
      <xdr:rowOff>9525</xdr:rowOff>
    </xdr:to>
    <xdr:pic>
      <xdr:nvPicPr>
        <xdr:cNvPr id="2" name="Picture 13">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01650"/>
          <a:ext cx="1422715" cy="1165225"/>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342900</xdr:colOff>
      <xdr:row>3</xdr:row>
      <xdr:rowOff>104775</xdr:rowOff>
    </xdr:from>
    <xdr:to>
      <xdr:col>6</xdr:col>
      <xdr:colOff>447675</xdr:colOff>
      <xdr:row>4</xdr:row>
      <xdr:rowOff>9525</xdr:rowOff>
    </xdr:to>
    <xdr:sp macro="" textlink="">
      <xdr:nvSpPr>
        <xdr:cNvPr id="3" name="Ellipse 2">
          <a:extLst>
            <a:ext uri="{FF2B5EF4-FFF2-40B4-BE49-F238E27FC236}">
              <a16:creationId xmlns:a16="http://schemas.microsoft.com/office/drawing/2014/main" id="{00000000-0008-0000-1700-000003000000}"/>
            </a:ext>
          </a:extLst>
        </xdr:cNvPr>
        <xdr:cNvSpPr/>
      </xdr:nvSpPr>
      <xdr:spPr>
        <a:xfrm>
          <a:off x="6527800" y="657225"/>
          <a:ext cx="104775" cy="88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xdr:from>
      <xdr:col>6</xdr:col>
      <xdr:colOff>466725</xdr:colOff>
      <xdr:row>3</xdr:row>
      <xdr:rowOff>104775</xdr:rowOff>
    </xdr:from>
    <xdr:to>
      <xdr:col>6</xdr:col>
      <xdr:colOff>571500</xdr:colOff>
      <xdr:row>4</xdr:row>
      <xdr:rowOff>9525</xdr:rowOff>
    </xdr:to>
    <xdr:sp macro="" textlink="">
      <xdr:nvSpPr>
        <xdr:cNvPr id="4" name="Ellipse 3">
          <a:extLst>
            <a:ext uri="{FF2B5EF4-FFF2-40B4-BE49-F238E27FC236}">
              <a16:creationId xmlns:a16="http://schemas.microsoft.com/office/drawing/2014/main" id="{00000000-0008-0000-1700-000004000000}"/>
            </a:ext>
          </a:extLst>
        </xdr:cNvPr>
        <xdr:cNvSpPr/>
      </xdr:nvSpPr>
      <xdr:spPr>
        <a:xfrm>
          <a:off x="6651625" y="657225"/>
          <a:ext cx="104775" cy="889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ymond%20Carrier/Downloads/GuideFormulaire_7oc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ymond%20Carrier/Downloads/GuideFormulaire_5nov2020_21jan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d'utilisation"/>
      <sheetName val="Modifs vs dernière version"/>
      <sheetName val="Info"/>
      <sheetName val="Éqpmt"/>
      <sheetName val="2.1 Général"/>
      <sheetName val="2.2 Compression"/>
      <sheetName val="2.3 SEA"/>
      <sheetName val="2.4 Détecteur(lin)"/>
      <sheetName val="2.4 Détecteur(log)"/>
      <sheetName val="2.5-2.6 Artéfacts"/>
      <sheetName val="2.7 Homog"/>
      <sheetName val="2.7 Unifo"/>
      <sheetName val="2.8 FTM-2.9 stab"/>
      <sheetName val="2.9 Tension"/>
      <sheetName val="2.10-11-12 CDA_Kerma_DGM"/>
      <sheetName val="2.13 Align"/>
      <sheetName val="2.13 Align_Agrand"/>
      <sheetName val="2.14 abMON"/>
      <sheetName val="2.14 cMON"/>
      <sheetName val="2.15 Fantôme"/>
      <sheetName val="2.16 Blindage"/>
      <sheetName val="Éq.Mes.Étal."/>
      <sheetName val="Feuil1"/>
    </sheetNames>
    <sheetDataSet>
      <sheetData sheetId="0"/>
      <sheetData sheetId="1"/>
      <sheetData sheetId="2"/>
      <sheetData sheetId="3"/>
      <sheetData sheetId="4"/>
      <sheetData sheetId="5"/>
      <sheetData sheetId="6"/>
      <sheetData sheetId="7"/>
      <sheetData sheetId="8"/>
      <sheetData sheetId="9"/>
      <sheetData sheetId="10"/>
      <sheetData sheetId="11">
        <row r="15">
          <cell r="N15"/>
          <cell r="O15" t="str">
            <v>no cass</v>
          </cell>
          <cell r="P15" t="str">
            <v>champ</v>
          </cell>
          <cell r="Q15" t="str">
            <v>vmp</v>
          </cell>
          <cell r="R15" t="str">
            <v>ec-typ</v>
          </cell>
          <cell r="S15"/>
          <cell r="T15" t="str">
            <v>mAs</v>
          </cell>
        </row>
        <row r="16">
          <cell r="N16">
            <v>1</v>
          </cell>
          <cell r="O16" t="str">
            <v>cass#21</v>
          </cell>
          <cell r="P16">
            <v>0</v>
          </cell>
          <cell r="Q16">
            <v>0</v>
          </cell>
          <cell r="R16">
            <v>0</v>
          </cell>
          <cell r="S16">
            <v>0</v>
          </cell>
          <cell r="T16">
            <v>75</v>
          </cell>
        </row>
        <row r="17">
          <cell r="N17">
            <v>2</v>
          </cell>
          <cell r="O17" t="str">
            <v>cass#7</v>
          </cell>
          <cell r="P17">
            <v>0</v>
          </cell>
          <cell r="Q17">
            <v>1600</v>
          </cell>
          <cell r="R17">
            <v>0</v>
          </cell>
          <cell r="S17">
            <v>0</v>
          </cell>
          <cell r="T17">
            <v>68</v>
          </cell>
        </row>
        <row r="18">
          <cell r="N18">
            <v>3</v>
          </cell>
          <cell r="O18" t="str">
            <v>cass#8</v>
          </cell>
          <cell r="P18">
            <v>0</v>
          </cell>
          <cell r="Q18">
            <v>1450</v>
          </cell>
          <cell r="R18">
            <v>0</v>
          </cell>
          <cell r="S18">
            <v>0</v>
          </cell>
          <cell r="T18">
            <v>72</v>
          </cell>
        </row>
        <row r="19">
          <cell r="N19">
            <v>4</v>
          </cell>
          <cell r="O19" t="str">
            <v>cass#10</v>
          </cell>
          <cell r="P19">
            <v>0</v>
          </cell>
          <cell r="Q19">
            <v>1290</v>
          </cell>
          <cell r="R19">
            <v>0</v>
          </cell>
          <cell r="S19">
            <v>0</v>
          </cell>
          <cell r="T19">
            <v>74</v>
          </cell>
        </row>
        <row r="20">
          <cell r="N20">
            <v>5</v>
          </cell>
          <cell r="O20" t="str">
            <v>cass#18</v>
          </cell>
          <cell r="P20">
            <v>0</v>
          </cell>
          <cell r="Q20">
            <v>1600</v>
          </cell>
          <cell r="R20">
            <v>0</v>
          </cell>
          <cell r="S20">
            <v>0</v>
          </cell>
          <cell r="T20">
            <v>71</v>
          </cell>
        </row>
        <row r="21">
          <cell r="N21">
            <v>6</v>
          </cell>
          <cell r="O21" t="str">
            <v>cass#20</v>
          </cell>
          <cell r="P21">
            <v>0</v>
          </cell>
          <cell r="Q21">
            <v>1600</v>
          </cell>
          <cell r="R21">
            <v>0</v>
          </cell>
          <cell r="S21">
            <v>0</v>
          </cell>
          <cell r="T21">
            <v>68</v>
          </cell>
        </row>
        <row r="22">
          <cell r="N22">
            <v>7</v>
          </cell>
          <cell r="O22" t="str">
            <v>cass#14</v>
          </cell>
          <cell r="P22">
            <v>0</v>
          </cell>
          <cell r="Q22">
            <v>0</v>
          </cell>
          <cell r="R22">
            <v>0</v>
          </cell>
          <cell r="S22">
            <v>0</v>
          </cell>
          <cell r="T22">
            <v>73</v>
          </cell>
        </row>
        <row r="23">
          <cell r="N23">
            <v>8</v>
          </cell>
          <cell r="O23" t="str">
            <v>cass#15</v>
          </cell>
          <cell r="P23">
            <v>0</v>
          </cell>
          <cell r="Q23">
            <v>0</v>
          </cell>
          <cell r="R23">
            <v>0</v>
          </cell>
          <cell r="S23">
            <v>0</v>
          </cell>
          <cell r="T23">
            <v>69</v>
          </cell>
        </row>
        <row r="24">
          <cell r="N24">
            <v>9</v>
          </cell>
          <cell r="O24" t="str">
            <v>cass#6</v>
          </cell>
          <cell r="P24">
            <v>0</v>
          </cell>
          <cell r="Q24">
            <v>1500</v>
          </cell>
          <cell r="R24">
            <v>0</v>
          </cell>
          <cell r="S24">
            <v>0</v>
          </cell>
          <cell r="T24">
            <v>67</v>
          </cell>
        </row>
        <row r="25">
          <cell r="N25">
            <v>10</v>
          </cell>
          <cell r="O25" t="str">
            <v>cass#1</v>
          </cell>
          <cell r="P25" t="str">
            <v>18x24</v>
          </cell>
          <cell r="Q25">
            <v>1400</v>
          </cell>
          <cell r="R25">
            <v>15</v>
          </cell>
          <cell r="S25">
            <v>0</v>
          </cell>
          <cell r="T25">
            <v>75</v>
          </cell>
        </row>
        <row r="26">
          <cell r="N26">
            <v>11</v>
          </cell>
          <cell r="O26" t="str">
            <v>cass#2</v>
          </cell>
          <cell r="P26" t="str">
            <v>18x24</v>
          </cell>
          <cell r="Q26">
            <v>1600</v>
          </cell>
          <cell r="R26">
            <v>11</v>
          </cell>
          <cell r="S26">
            <v>0</v>
          </cell>
          <cell r="T26">
            <v>77</v>
          </cell>
        </row>
        <row r="27">
          <cell r="N27">
            <v>12</v>
          </cell>
          <cell r="O27" t="str">
            <v>cass#4</v>
          </cell>
          <cell r="P27" t="str">
            <v>18x24</v>
          </cell>
          <cell r="Q27">
            <v>1550</v>
          </cell>
          <cell r="R27">
            <v>11</v>
          </cell>
          <cell r="S27">
            <v>0</v>
          </cell>
          <cell r="T27">
            <v>77</v>
          </cell>
        </row>
        <row r="28">
          <cell r="N28">
            <v>13</v>
          </cell>
          <cell r="O28" t="str">
            <v>cass#5</v>
          </cell>
          <cell r="P28" t="str">
            <v>18x24</v>
          </cell>
          <cell r="Q28">
            <v>1600</v>
          </cell>
          <cell r="R28">
            <v>11</v>
          </cell>
          <cell r="S28">
            <v>0</v>
          </cell>
          <cell r="T28">
            <v>70</v>
          </cell>
        </row>
        <row r="29">
          <cell r="N29">
            <v>14</v>
          </cell>
          <cell r="O29" t="str">
            <v>cass#9</v>
          </cell>
          <cell r="P29" t="str">
            <v>18x24</v>
          </cell>
          <cell r="Q29">
            <v>1480</v>
          </cell>
          <cell r="R29">
            <v>11</v>
          </cell>
          <cell r="S29">
            <v>0</v>
          </cell>
          <cell r="T29">
            <v>75</v>
          </cell>
        </row>
        <row r="30">
          <cell r="N30">
            <v>15</v>
          </cell>
          <cell r="O30" t="str">
            <v>cass#3</v>
          </cell>
          <cell r="P30" t="str">
            <v>18x24</v>
          </cell>
          <cell r="Q30">
            <v>1600</v>
          </cell>
          <cell r="R30">
            <v>11</v>
          </cell>
          <cell r="S30">
            <v>0</v>
          </cell>
          <cell r="T30">
            <v>78</v>
          </cell>
        </row>
        <row r="31">
          <cell r="N31">
            <v>16</v>
          </cell>
          <cell r="O31" t="str">
            <v>cass#19</v>
          </cell>
          <cell r="P31" t="str">
            <v>18x24</v>
          </cell>
          <cell r="Q31">
            <v>1600</v>
          </cell>
          <cell r="R31">
            <v>11</v>
          </cell>
          <cell r="S31">
            <v>0</v>
          </cell>
          <cell r="T31">
            <v>72</v>
          </cell>
        </row>
        <row r="32">
          <cell r="N32">
            <v>17</v>
          </cell>
          <cell r="O32" t="str">
            <v>cass#12</v>
          </cell>
          <cell r="P32" t="str">
            <v>18x24</v>
          </cell>
          <cell r="Q32">
            <v>1600</v>
          </cell>
          <cell r="R32">
            <v>11</v>
          </cell>
          <cell r="S32">
            <v>0</v>
          </cell>
          <cell r="T32">
            <v>72</v>
          </cell>
        </row>
        <row r="33">
          <cell r="N33">
            <v>18</v>
          </cell>
          <cell r="O33" t="str">
            <v>cass#16</v>
          </cell>
          <cell r="P33" t="str">
            <v>24x30</v>
          </cell>
          <cell r="Q33">
            <v>1400</v>
          </cell>
          <cell r="R33">
            <v>14</v>
          </cell>
          <cell r="S33">
            <v>0</v>
          </cell>
          <cell r="T33">
            <v>73</v>
          </cell>
        </row>
        <row r="34">
          <cell r="N34">
            <v>19</v>
          </cell>
          <cell r="O34" t="str">
            <v>cass#17</v>
          </cell>
          <cell r="P34" t="str">
            <v>24x30</v>
          </cell>
          <cell r="Q34">
            <v>1500</v>
          </cell>
          <cell r="R34">
            <v>11</v>
          </cell>
          <cell r="S34">
            <v>0</v>
          </cell>
          <cell r="T34">
            <v>72</v>
          </cell>
        </row>
        <row r="35">
          <cell r="N35">
            <v>20</v>
          </cell>
          <cell r="O35">
            <v>0</v>
          </cell>
          <cell r="P35" t="str">
            <v>24x30</v>
          </cell>
          <cell r="Q35">
            <v>1325</v>
          </cell>
          <cell r="R35">
            <v>11</v>
          </cell>
          <cell r="S35">
            <v>0</v>
          </cell>
          <cell r="T35">
            <v>65</v>
          </cell>
        </row>
        <row r="36">
          <cell r="N36">
            <v>21</v>
          </cell>
          <cell r="O36" t="str">
            <v>cass#11</v>
          </cell>
          <cell r="P36" t="str">
            <v>24x30</v>
          </cell>
          <cell r="Q36">
            <v>1300</v>
          </cell>
          <cell r="R36">
            <v>11</v>
          </cell>
          <cell r="S36">
            <v>0</v>
          </cell>
          <cell r="T36">
            <v>74</v>
          </cell>
        </row>
        <row r="37">
          <cell r="N37">
            <v>22</v>
          </cell>
          <cell r="O37" t="str">
            <v>cass#13</v>
          </cell>
          <cell r="P37" t="str">
            <v>24x30</v>
          </cell>
          <cell r="Q37">
            <v>1600</v>
          </cell>
          <cell r="R37">
            <v>11</v>
          </cell>
          <cell r="S37">
            <v>0</v>
          </cell>
          <cell r="T37">
            <v>74</v>
          </cell>
        </row>
      </sheetData>
      <sheetData sheetId="12"/>
      <sheetData sheetId="13"/>
      <sheetData sheetId="14">
        <row r="12">
          <cell r="B12" t="str">
            <v>Mo/Mo</v>
          </cell>
        </row>
      </sheetData>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d'utilisation"/>
      <sheetName val="Modifs vs dernière version"/>
      <sheetName val="Info"/>
      <sheetName val="Éqpmt"/>
      <sheetName val="2.1 Général"/>
      <sheetName val="2.2 Compression"/>
      <sheetName val="2.3 SEA"/>
      <sheetName val="2.4 Détecteur(lin)"/>
      <sheetName val="2.4 Détecteur(log)"/>
      <sheetName val="2.5-2.6 Artéfacts"/>
      <sheetName val="2.7 Homog-DR"/>
      <sheetName val="2.7 Homog"/>
      <sheetName val="2.7 Unifo"/>
      <sheetName val="2.8 FTM-2.9 stab"/>
      <sheetName val="2.9 Tension"/>
      <sheetName val="2.10-11-12 CDA_Kerma_DGM"/>
      <sheetName val="2.13 Align"/>
      <sheetName val="2.14 abMON"/>
      <sheetName val="2.14 cMON"/>
      <sheetName val="2.14 abMON (2)"/>
      <sheetName val="2.14 cMON (2)"/>
      <sheetName val="2.14 abMON (3)"/>
      <sheetName val="2.14 cMON (3)"/>
      <sheetName val="2.15 Fantôme"/>
      <sheetName val="2.16 Blindage"/>
      <sheetName val="Éq.Mes.Étal."/>
      <sheetName val="Feuil1"/>
    </sheetNames>
    <sheetDataSet>
      <sheetData sheetId="0"/>
      <sheetData sheetId="1"/>
      <sheetData sheetId="2">
        <row r="10">
          <cell r="C10" t="str">
            <v>Clinique Ste-Mammo</v>
          </cell>
        </row>
      </sheetData>
      <sheetData sheetId="3"/>
      <sheetData sheetId="4"/>
      <sheetData sheetId="5"/>
      <sheetData sheetId="6"/>
      <sheetData sheetId="7"/>
      <sheetData sheetId="8"/>
      <sheetData sheetId="9"/>
      <sheetData sheetId="10"/>
      <sheetData sheetId="11"/>
      <sheetData sheetId="12">
        <row r="15">
          <cell r="N15"/>
          <cell r="O15" t="str">
            <v>no cass</v>
          </cell>
          <cell r="P15" t="str">
            <v>champ</v>
          </cell>
          <cell r="Q15" t="str">
            <v>vmp</v>
          </cell>
          <cell r="R15" t="str">
            <v>ec-typ</v>
          </cell>
          <cell r="S15"/>
          <cell r="T15" t="str">
            <v>mAs</v>
          </cell>
        </row>
        <row r="16">
          <cell r="N16">
            <v>1</v>
          </cell>
          <cell r="O16" t="str">
            <v>cass#21</v>
          </cell>
          <cell r="P16">
            <v>0</v>
          </cell>
          <cell r="Q16">
            <v>0</v>
          </cell>
          <cell r="R16">
            <v>0</v>
          </cell>
          <cell r="S16">
            <v>0</v>
          </cell>
          <cell r="T16">
            <v>75</v>
          </cell>
        </row>
        <row r="17">
          <cell r="N17">
            <v>2</v>
          </cell>
          <cell r="O17" t="str">
            <v>cass#7</v>
          </cell>
          <cell r="P17">
            <v>0</v>
          </cell>
          <cell r="Q17">
            <v>1600</v>
          </cell>
          <cell r="R17">
            <v>0</v>
          </cell>
          <cell r="S17">
            <v>0</v>
          </cell>
          <cell r="T17">
            <v>68</v>
          </cell>
        </row>
        <row r="18">
          <cell r="N18">
            <v>3</v>
          </cell>
          <cell r="O18" t="str">
            <v>cass#8</v>
          </cell>
          <cell r="P18">
            <v>0</v>
          </cell>
          <cell r="Q18">
            <v>1450</v>
          </cell>
          <cell r="R18">
            <v>0</v>
          </cell>
          <cell r="S18">
            <v>0</v>
          </cell>
          <cell r="T18">
            <v>72</v>
          </cell>
        </row>
        <row r="19">
          <cell r="N19">
            <v>4</v>
          </cell>
          <cell r="O19" t="str">
            <v>cass#10</v>
          </cell>
          <cell r="P19">
            <v>0</v>
          </cell>
          <cell r="Q19">
            <v>1290</v>
          </cell>
          <cell r="R19">
            <v>0</v>
          </cell>
          <cell r="S19">
            <v>0</v>
          </cell>
          <cell r="T19">
            <v>74</v>
          </cell>
        </row>
        <row r="20">
          <cell r="N20">
            <v>5</v>
          </cell>
          <cell r="O20" t="str">
            <v>cass#18</v>
          </cell>
          <cell r="P20">
            <v>0</v>
          </cell>
          <cell r="Q20">
            <v>1600</v>
          </cell>
          <cell r="R20">
            <v>0</v>
          </cell>
          <cell r="S20">
            <v>0</v>
          </cell>
          <cell r="T20">
            <v>71</v>
          </cell>
        </row>
        <row r="21">
          <cell r="N21">
            <v>6</v>
          </cell>
          <cell r="O21" t="str">
            <v>cass#20</v>
          </cell>
          <cell r="P21">
            <v>0</v>
          </cell>
          <cell r="Q21">
            <v>1600</v>
          </cell>
          <cell r="R21">
            <v>0</v>
          </cell>
          <cell r="S21">
            <v>0</v>
          </cell>
          <cell r="T21">
            <v>68</v>
          </cell>
        </row>
        <row r="22">
          <cell r="N22">
            <v>7</v>
          </cell>
          <cell r="O22" t="str">
            <v>cass#14</v>
          </cell>
          <cell r="P22">
            <v>0</v>
          </cell>
          <cell r="Q22">
            <v>0</v>
          </cell>
          <cell r="R22">
            <v>0</v>
          </cell>
          <cell r="S22">
            <v>0</v>
          </cell>
          <cell r="T22">
            <v>73</v>
          </cell>
        </row>
        <row r="23">
          <cell r="N23">
            <v>8</v>
          </cell>
          <cell r="O23" t="str">
            <v>cass#15</v>
          </cell>
          <cell r="P23">
            <v>0</v>
          </cell>
          <cell r="Q23">
            <v>0</v>
          </cell>
          <cell r="R23">
            <v>0</v>
          </cell>
          <cell r="S23">
            <v>0</v>
          </cell>
          <cell r="T23">
            <v>69</v>
          </cell>
        </row>
        <row r="24">
          <cell r="N24">
            <v>9</v>
          </cell>
          <cell r="O24" t="str">
            <v>cass#6</v>
          </cell>
          <cell r="P24">
            <v>0</v>
          </cell>
          <cell r="Q24">
            <v>1500</v>
          </cell>
          <cell r="R24">
            <v>0</v>
          </cell>
          <cell r="S24">
            <v>0</v>
          </cell>
          <cell r="T24">
            <v>67</v>
          </cell>
        </row>
        <row r="25">
          <cell r="N25">
            <v>10</v>
          </cell>
          <cell r="O25" t="str">
            <v>cass#1</v>
          </cell>
          <cell r="P25" t="str">
            <v>18x24</v>
          </cell>
          <cell r="Q25">
            <v>1400</v>
          </cell>
          <cell r="R25">
            <v>15</v>
          </cell>
          <cell r="S25">
            <v>0</v>
          </cell>
          <cell r="T25">
            <v>75</v>
          </cell>
        </row>
        <row r="26">
          <cell r="N26">
            <v>11</v>
          </cell>
          <cell r="O26" t="str">
            <v>cass#2</v>
          </cell>
          <cell r="P26" t="str">
            <v>18x24</v>
          </cell>
          <cell r="Q26">
            <v>1600</v>
          </cell>
          <cell r="R26">
            <v>11</v>
          </cell>
          <cell r="S26">
            <v>0</v>
          </cell>
          <cell r="T26">
            <v>77</v>
          </cell>
        </row>
        <row r="27">
          <cell r="N27">
            <v>12</v>
          </cell>
          <cell r="O27" t="str">
            <v>cass#4</v>
          </cell>
          <cell r="P27" t="str">
            <v>18x24</v>
          </cell>
          <cell r="Q27">
            <v>1550</v>
          </cell>
          <cell r="R27">
            <v>11</v>
          </cell>
          <cell r="S27">
            <v>0</v>
          </cell>
          <cell r="T27">
            <v>77</v>
          </cell>
        </row>
        <row r="28">
          <cell r="N28">
            <v>13</v>
          </cell>
          <cell r="O28" t="str">
            <v>cass#5</v>
          </cell>
          <cell r="P28" t="str">
            <v>18x24</v>
          </cell>
          <cell r="Q28">
            <v>1600</v>
          </cell>
          <cell r="R28">
            <v>11</v>
          </cell>
          <cell r="S28">
            <v>0</v>
          </cell>
          <cell r="T28">
            <v>70</v>
          </cell>
        </row>
        <row r="29">
          <cell r="N29">
            <v>14</v>
          </cell>
          <cell r="O29" t="str">
            <v>cass#9</v>
          </cell>
          <cell r="P29" t="str">
            <v>18x24</v>
          </cell>
          <cell r="Q29">
            <v>1480</v>
          </cell>
          <cell r="R29">
            <v>11</v>
          </cell>
          <cell r="S29">
            <v>0</v>
          </cell>
          <cell r="T29">
            <v>75</v>
          </cell>
        </row>
        <row r="30">
          <cell r="N30">
            <v>15</v>
          </cell>
          <cell r="O30" t="str">
            <v>cass#3</v>
          </cell>
          <cell r="P30" t="str">
            <v>18x24</v>
          </cell>
          <cell r="Q30">
            <v>1600</v>
          </cell>
          <cell r="R30">
            <v>11</v>
          </cell>
          <cell r="S30">
            <v>0</v>
          </cell>
          <cell r="T30">
            <v>78</v>
          </cell>
        </row>
        <row r="31">
          <cell r="N31">
            <v>16</v>
          </cell>
          <cell r="O31" t="str">
            <v>cass#19</v>
          </cell>
          <cell r="P31" t="str">
            <v>18x24</v>
          </cell>
          <cell r="Q31">
            <v>1600</v>
          </cell>
          <cell r="R31">
            <v>11</v>
          </cell>
          <cell r="S31">
            <v>0</v>
          </cell>
          <cell r="T31">
            <v>72</v>
          </cell>
        </row>
        <row r="32">
          <cell r="N32">
            <v>17</v>
          </cell>
          <cell r="O32" t="str">
            <v>cass#12</v>
          </cell>
          <cell r="P32" t="str">
            <v>18x24</v>
          </cell>
          <cell r="Q32">
            <v>1600</v>
          </cell>
          <cell r="R32">
            <v>11</v>
          </cell>
          <cell r="S32">
            <v>0</v>
          </cell>
          <cell r="T32">
            <v>72</v>
          </cell>
        </row>
        <row r="33">
          <cell r="N33">
            <v>18</v>
          </cell>
          <cell r="O33" t="str">
            <v>cass#16</v>
          </cell>
          <cell r="P33" t="str">
            <v>24x30</v>
          </cell>
          <cell r="Q33">
            <v>1400</v>
          </cell>
          <cell r="R33">
            <v>14</v>
          </cell>
          <cell r="S33">
            <v>0</v>
          </cell>
          <cell r="T33">
            <v>73</v>
          </cell>
        </row>
        <row r="34">
          <cell r="N34">
            <v>19</v>
          </cell>
          <cell r="O34" t="str">
            <v>cass#17</v>
          </cell>
          <cell r="P34" t="str">
            <v>24x30</v>
          </cell>
          <cell r="Q34">
            <v>1500</v>
          </cell>
          <cell r="R34">
            <v>11</v>
          </cell>
          <cell r="S34">
            <v>0</v>
          </cell>
          <cell r="T34">
            <v>72</v>
          </cell>
        </row>
        <row r="35">
          <cell r="N35">
            <v>20</v>
          </cell>
          <cell r="O35">
            <v>0</v>
          </cell>
          <cell r="P35" t="str">
            <v>24x30</v>
          </cell>
          <cell r="Q35">
            <v>1325</v>
          </cell>
          <cell r="R35">
            <v>11</v>
          </cell>
          <cell r="S35">
            <v>0</v>
          </cell>
          <cell r="T35">
            <v>65</v>
          </cell>
        </row>
        <row r="36">
          <cell r="N36">
            <v>21</v>
          </cell>
          <cell r="O36" t="str">
            <v>cass#11</v>
          </cell>
          <cell r="P36" t="str">
            <v>24x30</v>
          </cell>
          <cell r="Q36">
            <v>1300</v>
          </cell>
          <cell r="R36">
            <v>11</v>
          </cell>
          <cell r="S36">
            <v>0</v>
          </cell>
          <cell r="T36">
            <v>74</v>
          </cell>
        </row>
        <row r="37">
          <cell r="N37">
            <v>22</v>
          </cell>
          <cell r="O37" t="str">
            <v>cass#13</v>
          </cell>
          <cell r="P37" t="str">
            <v>24x30</v>
          </cell>
          <cell r="Q37">
            <v>1600</v>
          </cell>
          <cell r="R37">
            <v>11</v>
          </cell>
          <cell r="S37">
            <v>0</v>
          </cell>
          <cell r="T37">
            <v>74</v>
          </cell>
        </row>
      </sheetData>
      <sheetData sheetId="13"/>
      <sheetData sheetId="14"/>
      <sheetData sheetId="15">
        <row r="12">
          <cell r="B12" t="str">
            <v>Mo/Mo</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9">
    <tabColor rgb="FFC00000"/>
    <pageSetUpPr fitToPage="1"/>
  </sheetPr>
  <dimension ref="A2:M112"/>
  <sheetViews>
    <sheetView tabSelected="1" topLeftCell="A56" workbookViewId="0">
      <selection activeCell="C54" sqref="C54"/>
    </sheetView>
  </sheetViews>
  <sheetFormatPr baseColWidth="10" defaultRowHeight="14.4" x14ac:dyDescent="0.3"/>
  <cols>
    <col min="1" max="1" width="20.6640625" customWidth="1"/>
    <col min="2" max="2" width="27.6640625" customWidth="1"/>
    <col min="3" max="3" width="115.6640625" customWidth="1"/>
  </cols>
  <sheetData>
    <row r="2" spans="1:3" x14ac:dyDescent="0.3">
      <c r="A2" s="2" t="s">
        <v>863</v>
      </c>
    </row>
    <row r="3" spans="1:3" x14ac:dyDescent="0.3">
      <c r="A3" s="1438" t="s">
        <v>864</v>
      </c>
      <c r="B3" s="1438"/>
      <c r="C3" s="1438"/>
    </row>
    <row r="4" spans="1:3" x14ac:dyDescent="0.3">
      <c r="A4" s="1438"/>
      <c r="B4" s="1438"/>
      <c r="C4" s="1438"/>
    </row>
    <row r="5" spans="1:3" x14ac:dyDescent="0.3">
      <c r="A5" s="909"/>
      <c r="B5" s="909"/>
      <c r="C5" s="909"/>
    </row>
    <row r="6" spans="1:3" x14ac:dyDescent="0.3">
      <c r="A6" s="1439" t="s">
        <v>1095</v>
      </c>
      <c r="B6" s="1439"/>
      <c r="C6" s="1439"/>
    </row>
    <row r="7" spans="1:3" x14ac:dyDescent="0.3">
      <c r="A7" s="909"/>
      <c r="B7" s="909"/>
      <c r="C7" s="909"/>
    </row>
    <row r="8" spans="1:3" x14ac:dyDescent="0.3">
      <c r="A8" s="886"/>
      <c r="B8" s="886"/>
      <c r="C8" s="886"/>
    </row>
    <row r="9" spans="1:3" x14ac:dyDescent="0.3">
      <c r="A9" s="2" t="s">
        <v>596</v>
      </c>
      <c r="B9" s="856"/>
    </row>
    <row r="10" spans="1:3" s="1" customFormat="1" ht="15.6" customHeight="1" x14ac:dyDescent="0.2">
      <c r="B10" s="885" t="s">
        <v>862</v>
      </c>
      <c r="C10" s="857" t="s">
        <v>699</v>
      </c>
    </row>
    <row r="11" spans="1:3" s="1" customFormat="1" ht="15.6" customHeight="1" x14ac:dyDescent="0.2">
      <c r="B11" s="885" t="s">
        <v>862</v>
      </c>
      <c r="C11" s="857" t="s">
        <v>591</v>
      </c>
    </row>
    <row r="12" spans="1:3" s="1" customFormat="1" ht="15.6" customHeight="1" x14ac:dyDescent="0.2">
      <c r="B12" s="885" t="s">
        <v>862</v>
      </c>
      <c r="C12" s="1310" t="s">
        <v>592</v>
      </c>
    </row>
    <row r="13" spans="1:3" s="1" customFormat="1" ht="22.8" x14ac:dyDescent="0.2">
      <c r="B13" s="885" t="s">
        <v>862</v>
      </c>
      <c r="C13" s="1311" t="s">
        <v>700</v>
      </c>
    </row>
    <row r="14" spans="1:3" s="1" customFormat="1" ht="22.8" x14ac:dyDescent="0.2">
      <c r="B14" s="885" t="s">
        <v>862</v>
      </c>
      <c r="C14" s="1312" t="s">
        <v>593</v>
      </c>
    </row>
    <row r="15" spans="1:3" s="1" customFormat="1" ht="15.6" customHeight="1" x14ac:dyDescent="0.2">
      <c r="B15" s="885" t="s">
        <v>862</v>
      </c>
      <c r="C15" s="1313" t="s">
        <v>701</v>
      </c>
    </row>
    <row r="16" spans="1:3" s="1" customFormat="1" ht="15.6" customHeight="1" x14ac:dyDescent="0.2">
      <c r="B16" s="885" t="s">
        <v>862</v>
      </c>
      <c r="C16" s="884" t="s">
        <v>594</v>
      </c>
    </row>
    <row r="17" spans="1:6" s="1" customFormat="1" ht="15.6" customHeight="1" x14ac:dyDescent="0.2">
      <c r="B17" s="885" t="s">
        <v>862</v>
      </c>
      <c r="C17" s="884" t="s">
        <v>866</v>
      </c>
    </row>
    <row r="18" spans="1:6" s="1" customFormat="1" ht="22.8" x14ac:dyDescent="0.2">
      <c r="B18" s="885" t="s">
        <v>862</v>
      </c>
      <c r="C18" s="884" t="s">
        <v>595</v>
      </c>
    </row>
    <row r="19" spans="1:6" s="1" customFormat="1" ht="22.8" x14ac:dyDescent="0.2">
      <c r="B19" s="885" t="s">
        <v>862</v>
      </c>
      <c r="C19" s="884" t="s">
        <v>867</v>
      </c>
    </row>
    <row r="20" spans="1:6" x14ac:dyDescent="0.3">
      <c r="B20" s="885" t="s">
        <v>862</v>
      </c>
      <c r="C20" s="857" t="s">
        <v>702</v>
      </c>
    </row>
    <row r="21" spans="1:6" x14ac:dyDescent="0.3">
      <c r="B21" s="885" t="s">
        <v>862</v>
      </c>
      <c r="C21" s="857" t="s">
        <v>1105</v>
      </c>
    </row>
    <row r="22" spans="1:6" x14ac:dyDescent="0.3">
      <c r="B22" s="885" t="s">
        <v>862</v>
      </c>
      <c r="C22" s="857" t="s">
        <v>869</v>
      </c>
    </row>
    <row r="23" spans="1:6" x14ac:dyDescent="0.3">
      <c r="B23" s="885" t="s">
        <v>862</v>
      </c>
      <c r="C23" s="857" t="s">
        <v>607</v>
      </c>
    </row>
    <row r="24" spans="1:6" x14ac:dyDescent="0.3">
      <c r="B24" s="1"/>
      <c r="C24" s="1154" t="s">
        <v>1106</v>
      </c>
    </row>
    <row r="25" spans="1:6" s="1071" customFormat="1" x14ac:dyDescent="0.3">
      <c r="B25" s="1072"/>
      <c r="C25" s="1154" t="s">
        <v>1143</v>
      </c>
    </row>
    <row r="26" spans="1:6" x14ac:dyDescent="0.3">
      <c r="A26" s="861" t="s">
        <v>865</v>
      </c>
      <c r="B26" s="862"/>
      <c r="D26" s="862"/>
      <c r="E26" s="862"/>
      <c r="F26" s="862"/>
    </row>
    <row r="27" spans="1:6" x14ac:dyDescent="0.3">
      <c r="A27" s="862"/>
      <c r="B27" s="863" t="s">
        <v>873</v>
      </c>
      <c r="C27" s="857" t="s">
        <v>608</v>
      </c>
      <c r="D27" s="862"/>
      <c r="E27" s="862"/>
      <c r="F27" s="862"/>
    </row>
    <row r="28" spans="1:6" x14ac:dyDescent="0.3">
      <c r="A28" s="862"/>
      <c r="B28" s="864"/>
      <c r="C28" s="857" t="s">
        <v>895</v>
      </c>
      <c r="D28" s="862"/>
      <c r="E28" s="862"/>
      <c r="F28" s="862"/>
    </row>
    <row r="29" spans="1:6" x14ac:dyDescent="0.3">
      <c r="A29" s="862"/>
      <c r="B29" s="864"/>
      <c r="C29" s="857" t="s">
        <v>609</v>
      </c>
      <c r="D29" s="862"/>
      <c r="E29" s="862"/>
      <c r="F29" s="862"/>
    </row>
    <row r="30" spans="1:6" x14ac:dyDescent="0.3">
      <c r="A30" s="862"/>
      <c r="B30" s="864"/>
      <c r="C30" s="857" t="s">
        <v>868</v>
      </c>
      <c r="D30" s="862"/>
      <c r="E30" s="862"/>
      <c r="F30" s="862"/>
    </row>
    <row r="31" spans="1:6" x14ac:dyDescent="0.3">
      <c r="A31" s="862"/>
      <c r="B31" s="864"/>
      <c r="C31" s="857" t="s">
        <v>610</v>
      </c>
      <c r="D31" s="862"/>
      <c r="E31" s="862"/>
      <c r="F31" s="862"/>
    </row>
    <row r="32" spans="1:6" x14ac:dyDescent="0.3">
      <c r="A32" s="862"/>
      <c r="B32" s="864"/>
      <c r="C32" s="857" t="s">
        <v>703</v>
      </c>
      <c r="D32" s="862"/>
      <c r="E32" s="862"/>
      <c r="F32" s="862"/>
    </row>
    <row r="33" spans="1:13" x14ac:dyDescent="0.3">
      <c r="A33" s="862"/>
      <c r="B33" s="864"/>
      <c r="C33" s="857" t="s">
        <v>611</v>
      </c>
      <c r="D33" s="862"/>
      <c r="E33" s="862"/>
      <c r="F33" s="862"/>
    </row>
    <row r="34" spans="1:13" x14ac:dyDescent="0.3">
      <c r="A34" s="862"/>
      <c r="B34" s="864"/>
      <c r="C34" s="857"/>
      <c r="D34" s="862"/>
      <c r="E34" s="862"/>
      <c r="F34" s="862"/>
    </row>
    <row r="35" spans="1:13" x14ac:dyDescent="0.3">
      <c r="A35" s="862"/>
      <c r="B35" s="864" t="s">
        <v>874</v>
      </c>
      <c r="C35" s="857" t="s">
        <v>704</v>
      </c>
      <c r="D35" s="862"/>
      <c r="E35" s="862"/>
      <c r="F35" s="862"/>
    </row>
    <row r="36" spans="1:13" x14ac:dyDescent="0.3">
      <c r="A36" s="862"/>
      <c r="B36" s="864"/>
      <c r="C36" s="857" t="s">
        <v>705</v>
      </c>
      <c r="D36" s="862"/>
      <c r="E36" s="862"/>
      <c r="F36" s="862"/>
    </row>
    <row r="37" spans="1:13" x14ac:dyDescent="0.3">
      <c r="A37" s="862"/>
      <c r="B37" s="864"/>
      <c r="C37" s="857" t="s">
        <v>612</v>
      </c>
      <c r="D37" s="862"/>
      <c r="E37" s="862"/>
      <c r="F37" s="862"/>
    </row>
    <row r="38" spans="1:13" x14ac:dyDescent="0.3">
      <c r="A38" s="862"/>
      <c r="B38" s="864"/>
      <c r="C38" s="857"/>
      <c r="D38" s="862"/>
      <c r="E38" s="862"/>
      <c r="F38" s="862"/>
    </row>
    <row r="39" spans="1:13" x14ac:dyDescent="0.3">
      <c r="A39" s="862"/>
      <c r="B39" s="864" t="s">
        <v>875</v>
      </c>
      <c r="C39" s="857" t="s">
        <v>982</v>
      </c>
      <c r="D39" s="862"/>
      <c r="E39" s="862"/>
      <c r="F39" s="862"/>
    </row>
    <row r="40" spans="1:13" x14ac:dyDescent="0.3">
      <c r="A40" s="862"/>
      <c r="B40" s="864"/>
      <c r="C40" s="857" t="s">
        <v>983</v>
      </c>
      <c r="D40" s="862"/>
      <c r="E40" s="862"/>
      <c r="F40" s="862"/>
    </row>
    <row r="41" spans="1:13" x14ac:dyDescent="0.3">
      <c r="A41" s="862"/>
      <c r="B41" s="864"/>
      <c r="C41" s="857" t="s">
        <v>984</v>
      </c>
      <c r="D41" s="862"/>
      <c r="E41" s="862"/>
      <c r="F41" s="862"/>
    </row>
    <row r="42" spans="1:13" x14ac:dyDescent="0.3">
      <c r="A42" s="862"/>
      <c r="B42" s="864"/>
      <c r="C42" s="857" t="s">
        <v>706</v>
      </c>
      <c r="D42" s="862"/>
      <c r="E42" s="862"/>
      <c r="F42" s="862"/>
    </row>
    <row r="43" spans="1:13" x14ac:dyDescent="0.3">
      <c r="A43" s="862"/>
      <c r="B43" s="864"/>
      <c r="C43" s="857"/>
      <c r="D43" s="862"/>
      <c r="E43" s="862"/>
      <c r="F43" s="862"/>
    </row>
    <row r="44" spans="1:13" x14ac:dyDescent="0.3">
      <c r="A44" s="862"/>
      <c r="B44" s="864" t="s">
        <v>876</v>
      </c>
      <c r="C44" s="884" t="s">
        <v>707</v>
      </c>
      <c r="D44" s="857"/>
      <c r="E44" s="857"/>
      <c r="F44" s="857"/>
      <c r="G44" s="1"/>
      <c r="H44" s="1"/>
      <c r="I44" s="1"/>
      <c r="J44" s="1"/>
      <c r="K44" s="1"/>
      <c r="L44" s="1"/>
      <c r="M44" s="1"/>
    </row>
    <row r="45" spans="1:13" ht="22.8" x14ac:dyDescent="0.3">
      <c r="A45" s="862"/>
      <c r="B45" s="864"/>
      <c r="C45" s="884" t="s">
        <v>708</v>
      </c>
      <c r="D45" s="857"/>
      <c r="E45" s="857"/>
      <c r="F45" s="857"/>
      <c r="G45" s="1"/>
      <c r="H45" s="1"/>
      <c r="I45" s="1"/>
      <c r="J45" s="1"/>
      <c r="K45" s="1"/>
      <c r="L45" s="1"/>
      <c r="M45" s="1"/>
    </row>
    <row r="46" spans="1:13" x14ac:dyDescent="0.3">
      <c r="A46" s="862"/>
      <c r="B46" s="864"/>
      <c r="C46" s="857" t="s">
        <v>1069</v>
      </c>
      <c r="D46" s="857"/>
      <c r="E46" s="857"/>
      <c r="F46" s="857"/>
      <c r="G46" s="1"/>
      <c r="H46" s="1"/>
      <c r="I46" s="1"/>
      <c r="J46" s="1"/>
      <c r="K46" s="1"/>
      <c r="L46" s="1"/>
      <c r="M46" s="1"/>
    </row>
    <row r="47" spans="1:13" x14ac:dyDescent="0.3">
      <c r="A47" s="862"/>
      <c r="B47" s="864" t="s">
        <v>597</v>
      </c>
      <c r="C47" s="857" t="s">
        <v>1070</v>
      </c>
      <c r="D47" s="857"/>
      <c r="E47" s="857"/>
      <c r="F47" s="857"/>
      <c r="G47" s="1"/>
      <c r="H47" s="1"/>
      <c r="I47" s="1"/>
      <c r="J47" s="1"/>
      <c r="K47" s="1"/>
      <c r="L47" s="1"/>
      <c r="M47" s="1"/>
    </row>
    <row r="48" spans="1:13" x14ac:dyDescent="0.3">
      <c r="A48" s="862"/>
      <c r="B48" s="864"/>
      <c r="C48" s="857" t="s">
        <v>1071</v>
      </c>
      <c r="D48" s="857"/>
      <c r="E48" s="857"/>
      <c r="F48" s="857"/>
      <c r="G48" s="1"/>
      <c r="H48" s="1"/>
      <c r="I48" s="1"/>
      <c r="J48" s="1"/>
      <c r="K48" s="1"/>
      <c r="L48" s="1"/>
      <c r="M48" s="1"/>
    </row>
    <row r="49" spans="1:13" s="1071" customFormat="1" x14ac:dyDescent="0.3">
      <c r="A49" s="1157"/>
      <c r="B49" s="1158"/>
      <c r="C49" s="1154"/>
      <c r="D49" s="1154"/>
      <c r="E49" s="1154"/>
      <c r="F49" s="1154"/>
      <c r="G49" s="1072"/>
      <c r="H49" s="1072"/>
      <c r="I49" s="1072"/>
      <c r="J49" s="1072"/>
      <c r="K49" s="1072"/>
      <c r="L49" s="1072"/>
      <c r="M49" s="1072"/>
    </row>
    <row r="50" spans="1:13" ht="28.8" x14ac:dyDescent="0.3">
      <c r="A50" s="862"/>
      <c r="B50" s="887" t="s">
        <v>877</v>
      </c>
      <c r="C50" s="1162" t="s">
        <v>1044</v>
      </c>
      <c r="D50" s="857"/>
      <c r="E50" s="857"/>
      <c r="F50" s="857"/>
      <c r="G50" s="1"/>
      <c r="H50" s="1"/>
      <c r="I50" s="1"/>
      <c r="J50" s="1"/>
      <c r="K50" s="1"/>
      <c r="L50" s="1"/>
      <c r="M50" s="1"/>
    </row>
    <row r="51" spans="1:13" x14ac:dyDescent="0.3">
      <c r="A51" s="862"/>
      <c r="B51" s="864"/>
      <c r="C51" s="857" t="s">
        <v>885</v>
      </c>
      <c r="D51" s="857"/>
      <c r="E51" s="857"/>
      <c r="F51" s="857"/>
      <c r="G51" s="1"/>
      <c r="H51" s="1"/>
      <c r="I51" s="1"/>
      <c r="J51" s="1"/>
      <c r="K51" s="1"/>
      <c r="L51" s="1"/>
      <c r="M51" s="1"/>
    </row>
    <row r="52" spans="1:13" x14ac:dyDescent="0.3">
      <c r="A52" s="862"/>
      <c r="B52" s="864"/>
      <c r="C52" s="857" t="s">
        <v>709</v>
      </c>
      <c r="D52" s="857"/>
      <c r="E52" s="857"/>
      <c r="F52" s="857"/>
      <c r="G52" s="1"/>
      <c r="H52" s="1"/>
      <c r="I52" s="1"/>
      <c r="J52" s="1"/>
      <c r="K52" s="1"/>
      <c r="L52" s="1"/>
      <c r="M52" s="1"/>
    </row>
    <row r="53" spans="1:13" s="1071" customFormat="1" x14ac:dyDescent="0.3">
      <c r="A53" s="1157"/>
      <c r="B53" s="1158"/>
      <c r="C53" s="1154" t="s">
        <v>1193</v>
      </c>
      <c r="D53" s="1154"/>
      <c r="E53" s="1154"/>
      <c r="F53" s="1154"/>
      <c r="G53" s="1072"/>
      <c r="H53" s="1072"/>
      <c r="I53" s="1072"/>
      <c r="J53" s="1072"/>
      <c r="K53" s="1072"/>
      <c r="L53" s="1072"/>
      <c r="M53" s="1072"/>
    </row>
    <row r="54" spans="1:13" x14ac:dyDescent="0.3">
      <c r="A54" s="862"/>
      <c r="B54" s="864"/>
      <c r="D54" s="857"/>
      <c r="E54" s="857"/>
      <c r="F54" s="857"/>
      <c r="G54" s="1"/>
      <c r="H54" s="1"/>
      <c r="I54" s="1"/>
      <c r="J54" s="1"/>
      <c r="K54" s="1"/>
      <c r="L54" s="1"/>
      <c r="M54" s="1"/>
    </row>
    <row r="55" spans="1:13" x14ac:dyDescent="0.3">
      <c r="A55" s="862"/>
      <c r="B55" s="864" t="s">
        <v>870</v>
      </c>
      <c r="C55" s="857" t="s">
        <v>710</v>
      </c>
      <c r="D55" s="857"/>
      <c r="E55" s="857"/>
      <c r="F55" s="857"/>
      <c r="G55" s="1"/>
      <c r="H55" s="1"/>
      <c r="I55" s="1"/>
      <c r="J55" s="1"/>
      <c r="K55" s="1"/>
      <c r="L55" s="1"/>
      <c r="M55" s="1"/>
    </row>
    <row r="56" spans="1:13" x14ac:dyDescent="0.3">
      <c r="A56" s="862"/>
      <c r="B56" s="864"/>
      <c r="C56" s="857" t="s">
        <v>613</v>
      </c>
      <c r="D56" s="857"/>
      <c r="E56" s="857"/>
      <c r="F56" s="857"/>
      <c r="G56" s="1"/>
      <c r="H56" s="1"/>
      <c r="I56" s="1"/>
      <c r="J56" s="1"/>
      <c r="K56" s="1"/>
      <c r="L56" s="1"/>
      <c r="M56" s="1"/>
    </row>
    <row r="57" spans="1:13" x14ac:dyDescent="0.3">
      <c r="A57" s="862"/>
      <c r="D57" s="857"/>
      <c r="E57" s="857"/>
      <c r="F57" s="857"/>
      <c r="G57" s="1"/>
      <c r="H57" s="1"/>
      <c r="I57" s="1"/>
      <c r="J57" s="1"/>
      <c r="K57" s="1"/>
      <c r="L57" s="1"/>
      <c r="M57" s="1"/>
    </row>
    <row r="58" spans="1:13" ht="34.200000000000003" x14ac:dyDescent="0.3">
      <c r="A58" s="862"/>
      <c r="B58" s="1158" t="s">
        <v>1097</v>
      </c>
      <c r="C58" s="1162" t="s">
        <v>1078</v>
      </c>
      <c r="D58" s="857"/>
      <c r="E58" s="857"/>
      <c r="F58" s="857"/>
      <c r="G58" s="1"/>
      <c r="H58" s="1"/>
      <c r="I58" s="1"/>
      <c r="J58" s="1"/>
      <c r="K58" s="1"/>
      <c r="L58" s="1"/>
      <c r="M58" s="1"/>
    </row>
    <row r="59" spans="1:13" x14ac:dyDescent="0.3">
      <c r="A59" s="862"/>
      <c r="B59" s="864" t="s">
        <v>1096</v>
      </c>
      <c r="C59" s="884" t="s">
        <v>711</v>
      </c>
      <c r="D59" s="857"/>
      <c r="E59" s="857"/>
      <c r="F59" s="857"/>
      <c r="G59" s="1"/>
      <c r="H59" s="1"/>
      <c r="I59" s="1"/>
      <c r="J59" s="1"/>
      <c r="K59" s="1"/>
      <c r="L59" s="1"/>
      <c r="M59" s="1"/>
    </row>
    <row r="60" spans="1:13" x14ac:dyDescent="0.3">
      <c r="A60" s="862"/>
      <c r="B60" s="864"/>
      <c r="C60" s="884" t="s">
        <v>614</v>
      </c>
      <c r="D60" s="857"/>
      <c r="E60" s="857"/>
      <c r="F60" s="857"/>
      <c r="G60" s="1"/>
      <c r="H60" s="1"/>
      <c r="I60" s="1"/>
      <c r="J60" s="1"/>
      <c r="K60" s="1"/>
      <c r="L60" s="1"/>
      <c r="M60" s="1"/>
    </row>
    <row r="61" spans="1:13" ht="22.8" x14ac:dyDescent="0.3">
      <c r="A61" s="862"/>
      <c r="B61" s="864"/>
      <c r="C61" s="884" t="s">
        <v>598</v>
      </c>
      <c r="D61" s="857"/>
      <c r="E61" s="857"/>
      <c r="F61" s="857"/>
      <c r="G61" s="1"/>
      <c r="H61" s="1"/>
      <c r="I61" s="1"/>
      <c r="J61" s="1"/>
      <c r="K61" s="1"/>
      <c r="L61" s="1"/>
      <c r="M61" s="1"/>
    </row>
    <row r="62" spans="1:13" ht="22.8" x14ac:dyDescent="0.3">
      <c r="A62" s="862"/>
      <c r="B62" s="864"/>
      <c r="C62" s="884" t="s">
        <v>1077</v>
      </c>
      <c r="D62" s="857"/>
      <c r="E62" s="857"/>
      <c r="F62" s="857"/>
      <c r="G62" s="1"/>
      <c r="H62" s="1"/>
      <c r="I62" s="1"/>
      <c r="J62" s="1"/>
      <c r="K62" s="1"/>
      <c r="L62" s="1"/>
      <c r="M62" s="1"/>
    </row>
    <row r="63" spans="1:13" x14ac:dyDescent="0.3">
      <c r="A63" s="862"/>
      <c r="B63" s="864"/>
      <c r="C63" s="884" t="s">
        <v>606</v>
      </c>
      <c r="D63" s="857"/>
      <c r="E63" s="857"/>
      <c r="F63" s="857"/>
      <c r="G63" s="1"/>
      <c r="H63" s="1"/>
      <c r="I63" s="1"/>
      <c r="J63" s="1"/>
      <c r="K63" s="1"/>
      <c r="L63" s="1"/>
      <c r="M63" s="1"/>
    </row>
    <row r="64" spans="1:13" x14ac:dyDescent="0.3">
      <c r="A64" s="862"/>
      <c r="B64" s="864"/>
      <c r="C64" s="884"/>
      <c r="D64" s="857"/>
      <c r="E64" s="857"/>
      <c r="F64" s="857"/>
      <c r="G64" s="1"/>
      <c r="H64" s="1"/>
      <c r="I64" s="1"/>
      <c r="J64" s="1"/>
      <c r="K64" s="1"/>
      <c r="L64" s="1"/>
      <c r="M64" s="1"/>
    </row>
    <row r="65" spans="1:13" x14ac:dyDescent="0.3">
      <c r="A65" s="862"/>
      <c r="B65" s="864" t="s">
        <v>878</v>
      </c>
      <c r="C65" s="884" t="s">
        <v>712</v>
      </c>
      <c r="D65" s="857"/>
      <c r="E65" s="857"/>
      <c r="F65" s="857"/>
      <c r="G65" s="1"/>
      <c r="H65" s="1"/>
      <c r="I65" s="1"/>
      <c r="J65" s="1"/>
      <c r="K65" s="1"/>
      <c r="L65" s="1"/>
      <c r="M65" s="1"/>
    </row>
    <row r="66" spans="1:13" x14ac:dyDescent="0.3">
      <c r="A66" s="862"/>
      <c r="B66" s="864"/>
      <c r="C66" s="884" t="s">
        <v>713</v>
      </c>
      <c r="D66" s="857"/>
      <c r="E66" s="857"/>
      <c r="F66" s="857"/>
      <c r="G66" s="1"/>
      <c r="H66" s="1"/>
      <c r="I66" s="1"/>
      <c r="J66" s="1"/>
      <c r="K66" s="1"/>
      <c r="L66" s="1"/>
      <c r="M66" s="1"/>
    </row>
    <row r="67" spans="1:13" x14ac:dyDescent="0.3">
      <c r="A67" s="862"/>
      <c r="B67" s="864"/>
      <c r="C67" s="884" t="s">
        <v>714</v>
      </c>
      <c r="D67" s="857"/>
      <c r="E67" s="857"/>
      <c r="F67" s="857"/>
      <c r="G67" s="1"/>
      <c r="H67" s="1"/>
      <c r="I67" s="1"/>
      <c r="J67" s="1"/>
      <c r="K67" s="1"/>
      <c r="L67" s="1"/>
      <c r="M67" s="1"/>
    </row>
    <row r="68" spans="1:13" x14ac:dyDescent="0.3">
      <c r="A68" s="862"/>
      <c r="B68" s="864"/>
      <c r="C68" s="884" t="s">
        <v>599</v>
      </c>
      <c r="D68" s="857"/>
      <c r="E68" s="857"/>
      <c r="F68" s="857"/>
      <c r="G68" s="1"/>
      <c r="H68" s="1"/>
      <c r="I68" s="1"/>
      <c r="J68" s="1"/>
      <c r="K68" s="1"/>
      <c r="L68" s="1"/>
      <c r="M68" s="1"/>
    </row>
    <row r="69" spans="1:13" x14ac:dyDescent="0.3">
      <c r="A69" s="862"/>
      <c r="C69" s="884"/>
      <c r="D69" s="857"/>
      <c r="E69" s="857"/>
      <c r="F69" s="857"/>
      <c r="G69" s="1"/>
      <c r="H69" s="1"/>
      <c r="I69" s="1"/>
      <c r="J69" s="1"/>
      <c r="K69" s="1"/>
      <c r="L69" s="1"/>
      <c r="M69" s="1"/>
    </row>
    <row r="70" spans="1:13" x14ac:dyDescent="0.3">
      <c r="A70" s="862"/>
      <c r="B70" s="864" t="s">
        <v>1049</v>
      </c>
      <c r="C70" s="884" t="s">
        <v>894</v>
      </c>
      <c r="D70" s="857"/>
      <c r="E70" s="857"/>
      <c r="F70" s="857"/>
      <c r="G70" s="1"/>
      <c r="H70" s="1"/>
      <c r="I70" s="1"/>
      <c r="J70" s="1"/>
      <c r="K70" s="1"/>
      <c r="L70" s="1"/>
      <c r="M70" s="1"/>
    </row>
    <row r="71" spans="1:13" ht="34.200000000000003" x14ac:dyDescent="0.3">
      <c r="A71" s="862"/>
      <c r="B71" s="864"/>
      <c r="C71" s="884" t="s">
        <v>1079</v>
      </c>
      <c r="D71" s="857"/>
      <c r="E71" s="857"/>
      <c r="F71" s="857"/>
      <c r="G71" s="1"/>
      <c r="H71" s="1"/>
      <c r="I71" s="1"/>
      <c r="J71" s="1"/>
      <c r="K71" s="1"/>
      <c r="L71" s="1"/>
      <c r="M71" s="1"/>
    </row>
    <row r="72" spans="1:13" x14ac:dyDescent="0.3">
      <c r="A72" s="862"/>
      <c r="B72" s="864"/>
      <c r="C72" s="884" t="s">
        <v>871</v>
      </c>
      <c r="D72" s="857"/>
      <c r="E72" s="857"/>
      <c r="F72" s="857"/>
      <c r="G72" s="1"/>
      <c r="H72" s="1"/>
      <c r="I72" s="1"/>
      <c r="J72" s="1"/>
      <c r="K72" s="1"/>
      <c r="L72" s="1"/>
      <c r="M72" s="1"/>
    </row>
    <row r="73" spans="1:13" x14ac:dyDescent="0.3">
      <c r="A73" s="862"/>
      <c r="B73" s="864"/>
      <c r="C73" s="884" t="s">
        <v>985</v>
      </c>
      <c r="D73" s="857"/>
      <c r="E73" s="857"/>
      <c r="F73" s="857"/>
      <c r="G73" s="1"/>
      <c r="H73" s="1"/>
      <c r="I73" s="1"/>
      <c r="J73" s="1"/>
      <c r="K73" s="1"/>
      <c r="L73" s="1"/>
      <c r="M73" s="1"/>
    </row>
    <row r="74" spans="1:13" x14ac:dyDescent="0.3">
      <c r="A74" s="862"/>
      <c r="B74" s="864"/>
      <c r="C74" s="884" t="s">
        <v>615</v>
      </c>
      <c r="D74" s="857"/>
      <c r="E74" s="857"/>
      <c r="F74" s="857"/>
      <c r="G74" s="1"/>
      <c r="H74" s="1"/>
      <c r="I74" s="1"/>
      <c r="J74" s="1"/>
      <c r="K74" s="1"/>
      <c r="L74" s="1"/>
      <c r="M74" s="1"/>
    </row>
    <row r="75" spans="1:13" x14ac:dyDescent="0.3">
      <c r="A75" s="862"/>
      <c r="B75" s="864"/>
      <c r="D75" s="857"/>
      <c r="E75" s="857"/>
      <c r="F75" s="857"/>
      <c r="G75" s="1"/>
      <c r="H75" s="1"/>
      <c r="I75" s="1"/>
      <c r="J75" s="1"/>
      <c r="K75" s="1"/>
      <c r="L75" s="1"/>
      <c r="M75" s="1"/>
    </row>
    <row r="76" spans="1:13" x14ac:dyDescent="0.3">
      <c r="A76" s="862"/>
      <c r="B76" s="864" t="s">
        <v>879</v>
      </c>
      <c r="C76" s="884" t="s">
        <v>600</v>
      </c>
      <c r="D76" s="857"/>
      <c r="E76" s="857"/>
      <c r="F76" s="857"/>
      <c r="G76" s="1"/>
      <c r="H76" s="1"/>
      <c r="I76" s="1"/>
      <c r="J76" s="1"/>
      <c r="K76" s="1"/>
      <c r="L76" s="1"/>
      <c r="M76" s="1"/>
    </row>
    <row r="77" spans="1:13" x14ac:dyDescent="0.3">
      <c r="A77" s="862"/>
      <c r="B77" s="864"/>
      <c r="C77" s="1162" t="s">
        <v>1050</v>
      </c>
      <c r="D77" s="857"/>
      <c r="E77" s="857"/>
      <c r="F77" s="857"/>
      <c r="G77" s="1"/>
      <c r="H77" s="1"/>
      <c r="I77" s="1"/>
      <c r="J77" s="1"/>
      <c r="K77" s="1"/>
      <c r="L77" s="1"/>
      <c r="M77" s="1"/>
    </row>
    <row r="78" spans="1:13" x14ac:dyDescent="0.3">
      <c r="A78" s="862"/>
      <c r="B78" s="864"/>
      <c r="C78" s="884" t="s">
        <v>986</v>
      </c>
      <c r="D78" s="857"/>
      <c r="E78" s="857"/>
      <c r="F78" s="857"/>
      <c r="G78" s="1"/>
      <c r="H78" s="1"/>
      <c r="I78" s="1"/>
      <c r="J78" s="1"/>
      <c r="K78" s="1"/>
      <c r="L78" s="1"/>
      <c r="M78" s="1"/>
    </row>
    <row r="79" spans="1:13" s="1071" customFormat="1" x14ac:dyDescent="0.3">
      <c r="A79" s="1157"/>
      <c r="B79" s="1158"/>
      <c r="C79" s="1162"/>
      <c r="D79" s="1154"/>
      <c r="E79" s="1154"/>
      <c r="F79" s="1154"/>
      <c r="G79" s="1072"/>
      <c r="H79" s="1072"/>
      <c r="I79" s="1072"/>
      <c r="J79" s="1072"/>
      <c r="K79" s="1072"/>
      <c r="L79" s="1072"/>
      <c r="M79" s="1072"/>
    </row>
    <row r="80" spans="1:13" x14ac:dyDescent="0.3">
      <c r="A80" s="862"/>
      <c r="B80" s="864" t="s">
        <v>884</v>
      </c>
      <c r="C80" s="857" t="s">
        <v>715</v>
      </c>
      <c r="D80" s="857"/>
      <c r="E80" s="857"/>
      <c r="F80" s="857"/>
      <c r="G80" s="1"/>
      <c r="H80" s="1"/>
      <c r="I80" s="1"/>
      <c r="J80" s="1"/>
      <c r="K80" s="1"/>
      <c r="L80" s="1"/>
      <c r="M80" s="1"/>
    </row>
    <row r="81" spans="1:13" x14ac:dyDescent="0.3">
      <c r="A81" s="862"/>
      <c r="B81" s="864"/>
      <c r="C81" s="857" t="s">
        <v>716</v>
      </c>
      <c r="D81" s="857"/>
      <c r="E81" s="857"/>
      <c r="F81" s="857"/>
      <c r="G81" s="1"/>
      <c r="H81" s="1"/>
      <c r="I81" s="1"/>
      <c r="J81" s="1"/>
      <c r="K81" s="1"/>
      <c r="L81" s="1"/>
      <c r="M81" s="1"/>
    </row>
    <row r="82" spans="1:13" ht="22.8" x14ac:dyDescent="0.3">
      <c r="A82" s="862"/>
      <c r="B82" s="864"/>
      <c r="C82" s="884" t="s">
        <v>860</v>
      </c>
      <c r="D82" s="857"/>
      <c r="E82" s="857"/>
      <c r="F82" s="857"/>
      <c r="G82" s="1"/>
      <c r="H82" s="1"/>
      <c r="I82" s="1"/>
      <c r="J82" s="1"/>
      <c r="K82" s="1"/>
      <c r="L82" s="1"/>
      <c r="M82" s="1"/>
    </row>
    <row r="83" spans="1:13" x14ac:dyDescent="0.3">
      <c r="A83" s="862"/>
      <c r="B83" s="864"/>
      <c r="C83" s="857" t="s">
        <v>717</v>
      </c>
      <c r="D83" s="857"/>
      <c r="E83" s="857"/>
      <c r="F83" s="857"/>
      <c r="G83" s="1"/>
      <c r="H83" s="1"/>
      <c r="I83" s="1"/>
      <c r="J83" s="1"/>
      <c r="K83" s="1"/>
      <c r="L83" s="1"/>
      <c r="M83" s="1"/>
    </row>
    <row r="84" spans="1:13" x14ac:dyDescent="0.3">
      <c r="A84" s="862"/>
      <c r="B84" s="864"/>
      <c r="D84" s="857"/>
      <c r="E84" s="857"/>
      <c r="F84" s="857"/>
      <c r="G84" s="1"/>
      <c r="H84" s="1"/>
      <c r="I84" s="1"/>
      <c r="J84" s="1"/>
      <c r="K84" s="1"/>
      <c r="L84" s="1"/>
      <c r="M84" s="1"/>
    </row>
    <row r="85" spans="1:13" x14ac:dyDescent="0.3">
      <c r="A85" s="862"/>
      <c r="B85" s="864" t="s">
        <v>1080</v>
      </c>
      <c r="C85" s="857" t="s">
        <v>1081</v>
      </c>
      <c r="D85" s="857"/>
      <c r="E85" s="857"/>
      <c r="F85" s="857"/>
      <c r="G85" s="1"/>
      <c r="H85" s="1"/>
      <c r="I85" s="1"/>
      <c r="J85" s="1"/>
      <c r="K85" s="1"/>
      <c r="L85" s="1"/>
      <c r="M85" s="1"/>
    </row>
    <row r="86" spans="1:13" x14ac:dyDescent="0.3">
      <c r="A86" s="862"/>
      <c r="B86" s="864"/>
      <c r="C86" s="857" t="s">
        <v>1082</v>
      </c>
      <c r="D86" s="857"/>
      <c r="E86" s="857"/>
      <c r="F86" s="857"/>
      <c r="G86" s="1"/>
      <c r="H86" s="1"/>
      <c r="I86" s="1"/>
      <c r="J86" s="1"/>
      <c r="K86" s="1"/>
      <c r="L86" s="1"/>
      <c r="M86" s="1"/>
    </row>
    <row r="87" spans="1:13" x14ac:dyDescent="0.3">
      <c r="A87" s="862"/>
      <c r="C87" s="857"/>
      <c r="D87" s="857"/>
      <c r="E87" s="857"/>
      <c r="F87" s="857"/>
      <c r="G87" s="1"/>
      <c r="H87" s="1"/>
      <c r="I87" s="1"/>
      <c r="J87" s="1"/>
      <c r="K87" s="1"/>
      <c r="L87" s="1"/>
      <c r="M87" s="1"/>
    </row>
    <row r="88" spans="1:13" x14ac:dyDescent="0.3">
      <c r="A88" s="862"/>
      <c r="B88" s="864" t="s">
        <v>880</v>
      </c>
      <c r="C88" s="857" t="s">
        <v>601</v>
      </c>
      <c r="D88" s="857"/>
      <c r="E88" s="857"/>
      <c r="F88" s="857"/>
      <c r="G88" s="1"/>
      <c r="H88" s="1"/>
      <c r="I88" s="1"/>
      <c r="J88" s="1"/>
      <c r="K88" s="1"/>
      <c r="L88" s="1"/>
      <c r="M88" s="1"/>
    </row>
    <row r="89" spans="1:13" x14ac:dyDescent="0.3">
      <c r="A89" s="862"/>
      <c r="B89" s="864"/>
      <c r="C89" s="857" t="s">
        <v>718</v>
      </c>
      <c r="D89" s="857"/>
      <c r="E89" s="857"/>
      <c r="F89" s="857"/>
      <c r="G89" s="1"/>
      <c r="H89" s="1"/>
      <c r="I89" s="1"/>
      <c r="J89" s="1"/>
      <c r="K89" s="1"/>
      <c r="L89" s="1"/>
      <c r="M89" s="1"/>
    </row>
    <row r="90" spans="1:13" x14ac:dyDescent="0.3">
      <c r="A90" s="862"/>
      <c r="B90" s="864"/>
      <c r="C90" s="857" t="s">
        <v>602</v>
      </c>
      <c r="D90" s="857"/>
      <c r="E90" s="857"/>
      <c r="F90" s="857"/>
      <c r="G90" s="1"/>
      <c r="H90" s="1"/>
      <c r="I90" s="1"/>
      <c r="J90" s="1"/>
      <c r="K90" s="1"/>
      <c r="L90" s="1"/>
      <c r="M90" s="1"/>
    </row>
    <row r="91" spans="1:13" x14ac:dyDescent="0.3">
      <c r="A91" s="862"/>
      <c r="C91" s="857" t="s">
        <v>603</v>
      </c>
      <c r="D91" s="857"/>
      <c r="E91" s="857"/>
      <c r="F91" s="857"/>
      <c r="G91" s="1"/>
      <c r="H91" s="1"/>
      <c r="I91" s="1"/>
      <c r="J91" s="1"/>
      <c r="K91" s="1"/>
      <c r="L91" s="1"/>
      <c r="M91" s="1"/>
    </row>
    <row r="92" spans="1:13" x14ac:dyDescent="0.3">
      <c r="A92" s="862"/>
      <c r="B92" s="864"/>
      <c r="C92" s="857" t="s">
        <v>719</v>
      </c>
      <c r="D92" s="857"/>
      <c r="E92" s="857"/>
      <c r="F92" s="857"/>
      <c r="G92" s="1"/>
      <c r="H92" s="1"/>
      <c r="I92" s="1"/>
      <c r="J92" s="1"/>
      <c r="K92" s="1"/>
      <c r="L92" s="1"/>
      <c r="M92" s="1"/>
    </row>
    <row r="93" spans="1:13" ht="22.8" x14ac:dyDescent="0.3">
      <c r="A93" s="862"/>
      <c r="B93" s="864"/>
      <c r="C93" s="1162" t="s">
        <v>1083</v>
      </c>
      <c r="D93" s="857"/>
      <c r="E93" s="857"/>
      <c r="F93" s="857"/>
      <c r="G93" s="1"/>
      <c r="H93" s="1"/>
      <c r="I93" s="1"/>
      <c r="J93" s="1"/>
      <c r="K93" s="1"/>
      <c r="L93" s="1"/>
      <c r="M93" s="1"/>
    </row>
    <row r="94" spans="1:13" s="1071" customFormat="1" x14ac:dyDescent="0.3">
      <c r="A94" s="1157"/>
      <c r="B94" s="1158"/>
      <c r="C94" s="1154" t="s">
        <v>1084</v>
      </c>
      <c r="D94" s="1154"/>
      <c r="E94" s="1154"/>
      <c r="F94" s="1154"/>
      <c r="G94" s="1072"/>
      <c r="H94" s="1072"/>
      <c r="I94" s="1072"/>
      <c r="J94" s="1072"/>
      <c r="K94" s="1072"/>
      <c r="L94" s="1072"/>
      <c r="M94" s="1072"/>
    </row>
    <row r="95" spans="1:13" s="1071" customFormat="1" x14ac:dyDescent="0.3">
      <c r="A95" s="1157"/>
      <c r="B95" s="1158"/>
      <c r="C95" s="1154"/>
      <c r="D95" s="1154"/>
      <c r="E95" s="1154"/>
      <c r="F95" s="1154"/>
      <c r="G95" s="1072"/>
      <c r="H95" s="1072"/>
      <c r="I95" s="1072"/>
      <c r="J95" s="1072"/>
      <c r="K95" s="1072"/>
      <c r="L95" s="1072"/>
      <c r="M95" s="1072"/>
    </row>
    <row r="96" spans="1:13" x14ac:dyDescent="0.3">
      <c r="A96" s="862"/>
      <c r="B96" s="864" t="s">
        <v>881</v>
      </c>
      <c r="C96" s="857" t="s">
        <v>604</v>
      </c>
      <c r="D96" s="857"/>
      <c r="E96" s="857"/>
      <c r="F96" s="857"/>
      <c r="G96" s="1"/>
      <c r="H96" s="1"/>
      <c r="I96" s="1"/>
      <c r="J96" s="1"/>
      <c r="K96" s="1"/>
      <c r="L96" s="1"/>
      <c r="M96" s="1"/>
    </row>
    <row r="97" spans="1:13" x14ac:dyDescent="0.3">
      <c r="A97" s="862"/>
      <c r="B97" s="864"/>
      <c r="C97" s="857" t="s">
        <v>720</v>
      </c>
      <c r="D97" s="857"/>
      <c r="E97" s="857"/>
      <c r="F97" s="857"/>
      <c r="G97" s="1"/>
      <c r="H97" s="1"/>
      <c r="I97" s="1"/>
      <c r="J97" s="1"/>
      <c r="K97" s="1"/>
      <c r="L97" s="1"/>
      <c r="M97" s="1"/>
    </row>
    <row r="98" spans="1:13" x14ac:dyDescent="0.3">
      <c r="A98" s="862"/>
      <c r="B98" s="864"/>
      <c r="C98" s="857"/>
      <c r="D98" s="857"/>
      <c r="E98" s="857"/>
      <c r="F98" s="857"/>
      <c r="G98" s="1"/>
      <c r="H98" s="1"/>
      <c r="I98" s="1"/>
      <c r="J98" s="1"/>
      <c r="K98" s="1"/>
      <c r="L98" s="1"/>
      <c r="M98" s="1"/>
    </row>
    <row r="99" spans="1:13" ht="22.8" x14ac:dyDescent="0.3">
      <c r="A99" s="862"/>
      <c r="B99" s="864" t="s">
        <v>882</v>
      </c>
      <c r="C99" s="884" t="s">
        <v>859</v>
      </c>
      <c r="D99" s="857"/>
      <c r="E99" s="857"/>
      <c r="F99" s="857"/>
      <c r="G99" s="1"/>
      <c r="H99" s="1"/>
      <c r="I99" s="1"/>
      <c r="J99" s="1"/>
      <c r="K99" s="1"/>
      <c r="L99" s="1"/>
      <c r="M99" s="1"/>
    </row>
    <row r="100" spans="1:13" x14ac:dyDescent="0.3">
      <c r="A100" s="862"/>
      <c r="B100" s="864"/>
      <c r="C100" s="857"/>
      <c r="D100" s="857"/>
      <c r="E100" s="857"/>
      <c r="F100" s="857"/>
      <c r="G100" s="1"/>
      <c r="H100" s="1"/>
      <c r="I100" s="1"/>
      <c r="J100" s="1"/>
      <c r="K100" s="1"/>
      <c r="L100" s="1"/>
      <c r="M100" s="1"/>
    </row>
    <row r="101" spans="1:13" x14ac:dyDescent="0.3">
      <c r="A101" s="862"/>
      <c r="B101" s="864" t="s">
        <v>883</v>
      </c>
      <c r="C101" s="857" t="s">
        <v>872</v>
      </c>
      <c r="D101" s="857"/>
      <c r="E101" s="857"/>
      <c r="F101" s="857"/>
      <c r="G101" s="1"/>
      <c r="H101" s="1"/>
      <c r="I101" s="1"/>
      <c r="J101" s="1"/>
      <c r="K101" s="1"/>
      <c r="L101" s="1"/>
      <c r="M101" s="1"/>
    </row>
    <row r="102" spans="1:13" ht="22.8" x14ac:dyDescent="0.3">
      <c r="A102" s="862"/>
      <c r="B102" s="864"/>
      <c r="C102" s="884" t="s">
        <v>861</v>
      </c>
      <c r="D102" s="857"/>
      <c r="E102" s="857"/>
      <c r="F102" s="857"/>
      <c r="G102" s="1"/>
      <c r="H102" s="1"/>
      <c r="I102" s="1"/>
      <c r="J102" s="1"/>
      <c r="K102" s="1"/>
      <c r="L102" s="1"/>
      <c r="M102" s="1"/>
    </row>
    <row r="103" spans="1:13" x14ac:dyDescent="0.3">
      <c r="A103" s="862"/>
      <c r="D103" s="857"/>
      <c r="E103" s="857"/>
      <c r="F103" s="857"/>
      <c r="G103" s="1"/>
      <c r="H103" s="1"/>
      <c r="I103" s="1"/>
      <c r="J103" s="1"/>
      <c r="K103" s="1"/>
      <c r="L103" s="1"/>
      <c r="M103" s="1"/>
    </row>
    <row r="104" spans="1:13" x14ac:dyDescent="0.3">
      <c r="A104" s="862"/>
      <c r="B104" s="864" t="s">
        <v>1110</v>
      </c>
      <c r="C104" s="857" t="s">
        <v>721</v>
      </c>
      <c r="D104" s="857"/>
      <c r="E104" s="857"/>
      <c r="F104" s="857"/>
      <c r="G104" s="1"/>
      <c r="H104" s="1"/>
      <c r="I104" s="1"/>
      <c r="J104" s="1"/>
      <c r="K104" s="1"/>
      <c r="L104" s="1"/>
      <c r="M104" s="1"/>
    </row>
    <row r="105" spans="1:13" x14ac:dyDescent="0.3">
      <c r="A105" s="862"/>
      <c r="B105" s="864"/>
      <c r="C105" s="857" t="s">
        <v>605</v>
      </c>
      <c r="D105" s="857"/>
      <c r="E105" s="857"/>
      <c r="F105" s="857"/>
      <c r="G105" s="1"/>
      <c r="H105" s="1"/>
      <c r="I105" s="1"/>
      <c r="J105" s="1"/>
      <c r="K105" s="1"/>
      <c r="L105" s="1"/>
      <c r="M105" s="1"/>
    </row>
    <row r="106" spans="1:13" ht="30" customHeight="1" x14ac:dyDescent="0.3">
      <c r="A106" s="862"/>
      <c r="B106" s="862"/>
      <c r="C106" s="884" t="s">
        <v>858</v>
      </c>
      <c r="D106" s="857"/>
      <c r="E106" s="857"/>
      <c r="F106" s="857"/>
      <c r="G106" s="1"/>
      <c r="H106" s="1"/>
      <c r="I106" s="1"/>
      <c r="J106" s="1"/>
      <c r="K106" s="1"/>
      <c r="L106" s="1"/>
      <c r="M106" s="1"/>
    </row>
    <row r="107" spans="1:13" x14ac:dyDescent="0.3">
      <c r="A107" s="862"/>
      <c r="C107" t="s">
        <v>1085</v>
      </c>
      <c r="D107" s="857"/>
      <c r="E107" s="857"/>
      <c r="F107" s="857"/>
      <c r="G107" s="1"/>
      <c r="H107" s="1"/>
      <c r="I107" s="1"/>
      <c r="J107" s="1"/>
      <c r="K107" s="1"/>
      <c r="L107" s="1"/>
      <c r="M107" s="1"/>
    </row>
    <row r="108" spans="1:13" x14ac:dyDescent="0.3">
      <c r="A108" s="862"/>
      <c r="D108" s="857"/>
      <c r="E108" s="857"/>
      <c r="F108" s="857"/>
      <c r="G108" s="1"/>
      <c r="H108" s="1"/>
      <c r="I108" s="1"/>
      <c r="J108" s="1"/>
      <c r="K108" s="1"/>
      <c r="L108" s="1"/>
      <c r="M108" s="1"/>
    </row>
    <row r="109" spans="1:13" x14ac:dyDescent="0.3">
      <c r="A109" s="862"/>
      <c r="D109" s="857"/>
      <c r="E109" s="857"/>
      <c r="F109" s="857"/>
      <c r="G109" s="1"/>
      <c r="H109" s="1"/>
      <c r="I109" s="1"/>
      <c r="J109" s="1"/>
      <c r="K109" s="1"/>
      <c r="L109" s="1"/>
      <c r="M109" s="1"/>
    </row>
    <row r="112" spans="1:13" x14ac:dyDescent="0.3">
      <c r="B112" s="864"/>
    </row>
  </sheetData>
  <sheetProtection algorithmName="SHA-512" hashValue="AjVz9wfMKKwl/SPVE0EqH6rskGKGfsmDi2FDl7x6jJjzsqtFYqwDNnzkwD2zOPFeIE2IL0Nk9BtgUmKaqB+6Ww==" saltValue="uvohMLANxDEfbpOxAyCvdw==" spinCount="100000" sheet="1" objects="1" scenarios="1"/>
  <mergeCells count="2">
    <mergeCell ref="A3:C4"/>
    <mergeCell ref="A6:C6"/>
  </mergeCells>
  <pageMargins left="0.7" right="0.7" top="0.75" bottom="0.75" header="0.3" footer="0.3"/>
  <pageSetup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N68"/>
  <sheetViews>
    <sheetView topLeftCell="A16" zoomScaleNormal="100" workbookViewId="0">
      <selection activeCell="A39" sqref="A39"/>
    </sheetView>
  </sheetViews>
  <sheetFormatPr baseColWidth="10" defaultRowHeight="14.4" x14ac:dyDescent="0.3"/>
  <cols>
    <col min="1" max="1" width="28.44140625" customWidth="1"/>
    <col min="2" max="2" width="32.44140625" customWidth="1"/>
    <col min="3" max="3" width="109.88671875" customWidth="1"/>
  </cols>
  <sheetData>
    <row r="2" spans="1:14" x14ac:dyDescent="0.3">
      <c r="A2" s="856" t="s">
        <v>1086</v>
      </c>
    </row>
    <row r="4" spans="1:14" x14ac:dyDescent="0.3">
      <c r="A4" s="911" t="s">
        <v>1147</v>
      </c>
      <c r="B4" s="911" t="s">
        <v>897</v>
      </c>
      <c r="C4" s="911" t="s">
        <v>896</v>
      </c>
      <c r="D4" s="911"/>
      <c r="E4" s="911"/>
      <c r="F4" s="911"/>
      <c r="G4" s="911"/>
      <c r="H4" s="911"/>
      <c r="I4" s="911"/>
      <c r="J4" s="911"/>
      <c r="K4" s="911"/>
      <c r="L4" s="911"/>
      <c r="M4" s="911"/>
      <c r="N4" s="911"/>
    </row>
    <row r="5" spans="1:14" x14ac:dyDescent="0.3">
      <c r="C5" s="912"/>
    </row>
    <row r="6" spans="1:14" x14ac:dyDescent="0.3">
      <c r="A6" t="s">
        <v>1087</v>
      </c>
      <c r="B6" s="912"/>
      <c r="C6" s="912"/>
    </row>
    <row r="7" spans="1:14" x14ac:dyDescent="0.3">
      <c r="A7" t="s">
        <v>1088</v>
      </c>
      <c r="C7" s="912"/>
    </row>
    <row r="8" spans="1:14" x14ac:dyDescent="0.3">
      <c r="A8" s="1411" t="s">
        <v>1128</v>
      </c>
      <c r="C8" s="912"/>
    </row>
    <row r="9" spans="1:14" x14ac:dyDescent="0.3">
      <c r="A9" t="s">
        <v>1135</v>
      </c>
      <c r="B9" s="912" t="s">
        <v>1136</v>
      </c>
      <c r="C9" s="912" t="s">
        <v>1111</v>
      </c>
    </row>
    <row r="10" spans="1:14" s="1071" customFormat="1" x14ac:dyDescent="0.3">
      <c r="B10" s="1165"/>
      <c r="C10" s="1165" t="s">
        <v>1155</v>
      </c>
    </row>
    <row r="11" spans="1:14" s="1071" customFormat="1" x14ac:dyDescent="0.3">
      <c r="A11" s="1411" t="s">
        <v>1142</v>
      </c>
      <c r="B11" s="1165"/>
      <c r="C11" s="1165"/>
    </row>
    <row r="12" spans="1:14" x14ac:dyDescent="0.3">
      <c r="A12" t="s">
        <v>1112</v>
      </c>
      <c r="B12" t="s">
        <v>1113</v>
      </c>
      <c r="C12" s="912" t="s">
        <v>1114</v>
      </c>
    </row>
    <row r="13" spans="1:14" x14ac:dyDescent="0.3">
      <c r="A13" t="s">
        <v>1115</v>
      </c>
      <c r="B13" t="s">
        <v>597</v>
      </c>
      <c r="C13" s="912" t="s">
        <v>1116</v>
      </c>
    </row>
    <row r="14" spans="1:14" x14ac:dyDescent="0.3">
      <c r="A14" t="s">
        <v>1124</v>
      </c>
      <c r="B14" s="1182"/>
      <c r="C14" s="912" t="s">
        <v>1118</v>
      </c>
    </row>
    <row r="15" spans="1:14" x14ac:dyDescent="0.3">
      <c r="A15" t="s">
        <v>1123</v>
      </c>
      <c r="B15" s="912" t="s">
        <v>1121</v>
      </c>
      <c r="C15" s="912" t="s">
        <v>1122</v>
      </c>
    </row>
    <row r="16" spans="1:14" s="1071" customFormat="1" x14ac:dyDescent="0.3">
      <c r="B16" s="1165"/>
      <c r="C16" s="1165" t="s">
        <v>1151</v>
      </c>
    </row>
    <row r="17" spans="1:3" s="1071" customFormat="1" x14ac:dyDescent="0.3">
      <c r="B17" s="1165"/>
      <c r="C17" s="1165" t="s">
        <v>1152</v>
      </c>
    </row>
    <row r="18" spans="1:3" x14ac:dyDescent="0.3">
      <c r="A18" t="s">
        <v>1112</v>
      </c>
      <c r="B18" t="s">
        <v>1126</v>
      </c>
      <c r="C18" s="912" t="s">
        <v>1130</v>
      </c>
    </row>
    <row r="19" spans="1:3" x14ac:dyDescent="0.3">
      <c r="C19" s="912" t="s">
        <v>1127</v>
      </c>
    </row>
    <row r="20" spans="1:3" x14ac:dyDescent="0.3">
      <c r="A20" t="s">
        <v>1134</v>
      </c>
      <c r="B20" t="s">
        <v>1137</v>
      </c>
      <c r="C20" s="912" t="s">
        <v>1138</v>
      </c>
    </row>
    <row r="21" spans="1:3" s="1071" customFormat="1" x14ac:dyDescent="0.3">
      <c r="C21" s="1165" t="s">
        <v>1139</v>
      </c>
    </row>
    <row r="22" spans="1:3" x14ac:dyDescent="0.3">
      <c r="C22" s="912" t="s">
        <v>1156</v>
      </c>
    </row>
    <row r="23" spans="1:3" x14ac:dyDescent="0.3">
      <c r="C23" s="912" t="s">
        <v>1140</v>
      </c>
    </row>
    <row r="24" spans="1:3" x14ac:dyDescent="0.3">
      <c r="A24" t="s">
        <v>1144</v>
      </c>
      <c r="B24" t="s">
        <v>1145</v>
      </c>
      <c r="C24" s="912" t="s">
        <v>1146</v>
      </c>
    </row>
    <row r="25" spans="1:3" x14ac:dyDescent="0.3">
      <c r="A25" s="1411" t="s">
        <v>1141</v>
      </c>
      <c r="C25" s="912"/>
    </row>
    <row r="26" spans="1:3" x14ac:dyDescent="0.3">
      <c r="A26" t="s">
        <v>1112</v>
      </c>
      <c r="B26" t="s">
        <v>1174</v>
      </c>
      <c r="C26" s="912" t="s">
        <v>1175</v>
      </c>
    </row>
    <row r="27" spans="1:3" x14ac:dyDescent="0.3">
      <c r="C27" s="912" t="s">
        <v>1176</v>
      </c>
    </row>
    <row r="28" spans="1:3" x14ac:dyDescent="0.3">
      <c r="C28" s="912" t="s">
        <v>1177</v>
      </c>
    </row>
    <row r="29" spans="1:3" x14ac:dyDescent="0.3">
      <c r="C29" s="912" t="s">
        <v>1178</v>
      </c>
    </row>
    <row r="30" spans="1:3" x14ac:dyDescent="0.3">
      <c r="B30" t="s">
        <v>1190</v>
      </c>
      <c r="C30" s="912" t="s">
        <v>1187</v>
      </c>
    </row>
    <row r="31" spans="1:3" x14ac:dyDescent="0.3">
      <c r="C31" s="912" t="s">
        <v>1188</v>
      </c>
    </row>
    <row r="32" spans="1:3" s="1071" customFormat="1" x14ac:dyDescent="0.3">
      <c r="B32" s="1071" t="s">
        <v>1189</v>
      </c>
      <c r="C32" s="1165" t="s">
        <v>1191</v>
      </c>
    </row>
    <row r="33" spans="1:3" s="1071" customFormat="1" x14ac:dyDescent="0.3">
      <c r="C33" s="1165" t="s">
        <v>1192</v>
      </c>
    </row>
    <row r="34" spans="1:3" x14ac:dyDescent="0.3">
      <c r="B34" t="s">
        <v>1145</v>
      </c>
      <c r="C34" s="1165" t="s">
        <v>1194</v>
      </c>
    </row>
    <row r="35" spans="1:3" x14ac:dyDescent="0.3">
      <c r="A35" s="1411" t="s">
        <v>1179</v>
      </c>
      <c r="C35" s="912"/>
    </row>
    <row r="36" spans="1:3" x14ac:dyDescent="0.3">
      <c r="B36" s="1071" t="s">
        <v>1174</v>
      </c>
      <c r="C36" s="912" t="s">
        <v>1197</v>
      </c>
    </row>
    <row r="37" spans="1:3" s="1071" customFormat="1" x14ac:dyDescent="0.3">
      <c r="B37" s="1071" t="s">
        <v>1080</v>
      </c>
      <c r="C37" s="1165" t="s">
        <v>1198</v>
      </c>
    </row>
    <row r="38" spans="1:3" x14ac:dyDescent="0.3">
      <c r="C38" s="912" t="s">
        <v>1199</v>
      </c>
    </row>
    <row r="39" spans="1:3" x14ac:dyDescent="0.3">
      <c r="A39" s="1411" t="s">
        <v>1200</v>
      </c>
      <c r="C39" s="912"/>
    </row>
    <row r="40" spans="1:3" x14ac:dyDescent="0.3">
      <c r="C40" s="912"/>
    </row>
    <row r="41" spans="1:3" x14ac:dyDescent="0.3">
      <c r="C41" s="912"/>
    </row>
    <row r="42" spans="1:3" s="1071" customFormat="1" x14ac:dyDescent="0.3">
      <c r="C42" s="1165"/>
    </row>
    <row r="43" spans="1:3" s="1071" customFormat="1" x14ac:dyDescent="0.3">
      <c r="C43" s="1165"/>
    </row>
    <row r="44" spans="1:3" s="1071" customFormat="1" x14ac:dyDescent="0.3">
      <c r="C44" s="1165"/>
    </row>
    <row r="45" spans="1:3" s="1071" customFormat="1" x14ac:dyDescent="0.3">
      <c r="C45" s="1165"/>
    </row>
    <row r="47" spans="1:3" x14ac:dyDescent="0.3">
      <c r="C47" s="912"/>
    </row>
    <row r="48" spans="1:3" x14ac:dyDescent="0.3">
      <c r="C48" s="912"/>
    </row>
    <row r="49" spans="2:6" x14ac:dyDescent="0.3">
      <c r="B49" s="1157"/>
      <c r="C49" s="912"/>
    </row>
    <row r="50" spans="2:6" x14ac:dyDescent="0.3">
      <c r="C50" s="1165"/>
    </row>
    <row r="51" spans="2:6" s="1071" customFormat="1" x14ac:dyDescent="0.3">
      <c r="C51" s="1165"/>
    </row>
    <row r="52" spans="2:6" x14ac:dyDescent="0.3">
      <c r="C52" s="912"/>
    </row>
    <row r="53" spans="2:6" x14ac:dyDescent="0.3">
      <c r="C53" s="1076"/>
      <c r="D53" s="50"/>
      <c r="E53" s="50"/>
      <c r="F53" s="50"/>
    </row>
    <row r="54" spans="2:6" s="1071" customFormat="1" x14ac:dyDescent="0.3">
      <c r="C54" s="1076"/>
      <c r="D54" s="1075"/>
      <c r="E54" s="1075"/>
      <c r="F54" s="1075"/>
    </row>
    <row r="55" spans="2:6" s="1071" customFormat="1" x14ac:dyDescent="0.3">
      <c r="C55" s="1164"/>
      <c r="D55" s="1075"/>
      <c r="E55" s="1075"/>
      <c r="F55" s="1075"/>
    </row>
    <row r="56" spans="2:6" x14ac:dyDescent="0.3">
      <c r="C56" s="104"/>
      <c r="D56" s="50"/>
      <c r="E56" s="50"/>
      <c r="F56" s="50"/>
    </row>
    <row r="57" spans="2:6" s="1180" customFormat="1" x14ac:dyDescent="0.3">
      <c r="C57" s="1076"/>
      <c r="D57" s="1076"/>
      <c r="E57" s="1076"/>
      <c r="F57" s="1076"/>
    </row>
    <row r="58" spans="2:6" s="1180" customFormat="1" x14ac:dyDescent="0.3">
      <c r="C58" s="1076"/>
      <c r="D58" s="1076"/>
      <c r="E58" s="1076"/>
      <c r="F58" s="1076"/>
    </row>
    <row r="62" spans="2:6" s="1071" customFormat="1" x14ac:dyDescent="0.3"/>
    <row r="65" spans="2:2" x14ac:dyDescent="0.3">
      <c r="B65" s="962"/>
    </row>
    <row r="67" spans="2:2" x14ac:dyDescent="0.3">
      <c r="B67" s="1180"/>
    </row>
    <row r="68" spans="2:2" x14ac:dyDescent="0.3">
      <c r="B68" s="957"/>
    </row>
  </sheetData>
  <sheetProtection algorithmName="SHA-512" hashValue="Q1Mr/iHXoTG1O5MMtmrhaMCOMz+Nua8oKPVCNEbUmTNNSu7KHXaUjdNklx/kbA2lNuBGQV7gEV6yycMimaTCJw==" saltValue="yGp7ihAbQ7JStzvIPlKj7Q==" spinCount="100000" sheet="1" objects="1" scenarios="1"/>
  <pageMargins left="0.7" right="0.7" top="0.75" bottom="0.75" header="0.3" footer="0.3"/>
  <pageSetup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theme="3" tint="-0.249977111117893"/>
    <pageSetUpPr fitToPage="1"/>
  </sheetPr>
  <dimension ref="A1:K55"/>
  <sheetViews>
    <sheetView topLeftCell="A56" zoomScaleNormal="100" workbookViewId="0">
      <selection activeCell="C10" sqref="C10:G10"/>
    </sheetView>
  </sheetViews>
  <sheetFormatPr baseColWidth="10" defaultColWidth="10.6640625" defaultRowHeight="14.4" x14ac:dyDescent="0.3"/>
  <cols>
    <col min="1" max="1" width="10.6640625" style="50"/>
    <col min="2" max="2" width="22" style="50" customWidth="1"/>
    <col min="3" max="4" width="16" style="50" customWidth="1"/>
    <col min="5" max="5" width="17.6640625" style="50" customWidth="1"/>
    <col min="6" max="6" width="16" style="50" customWidth="1"/>
    <col min="7" max="7" width="10.5546875" style="50" customWidth="1"/>
    <col min="8" max="16384" width="10.6640625" style="50"/>
  </cols>
  <sheetData>
    <row r="1" spans="1:11" ht="21" customHeight="1" x14ac:dyDescent="0.3">
      <c r="A1" s="21"/>
      <c r="B1" s="1453" t="s">
        <v>729</v>
      </c>
      <c r="C1" s="1453"/>
      <c r="D1" s="1454"/>
      <c r="E1" s="1454"/>
      <c r="F1" s="1454"/>
      <c r="G1" s="1455"/>
      <c r="H1" s="564"/>
      <c r="I1" s="1183" t="s">
        <v>1051</v>
      </c>
      <c r="J1" s="1164"/>
      <c r="K1" s="1164"/>
    </row>
    <row r="2" spans="1:11" ht="19.5" customHeight="1" x14ac:dyDescent="0.3">
      <c r="A2" s="22"/>
      <c r="B2" s="1456" t="s">
        <v>730</v>
      </c>
      <c r="C2" s="1456"/>
      <c r="D2" s="1457"/>
      <c r="E2" s="1457"/>
      <c r="F2" s="1457"/>
      <c r="G2" s="1458"/>
      <c r="H2" s="564"/>
      <c r="I2" s="1183" t="s">
        <v>1052</v>
      </c>
      <c r="J2" s="1164"/>
      <c r="K2" s="1164"/>
    </row>
    <row r="3" spans="1:11" x14ac:dyDescent="0.3">
      <c r="A3" s="22"/>
      <c r="B3" s="23"/>
      <c r="C3" s="23"/>
      <c r="D3" s="24"/>
      <c r="E3" s="25"/>
      <c r="F3" s="24"/>
      <c r="G3" s="26"/>
      <c r="H3" s="564"/>
      <c r="I3" s="564"/>
    </row>
    <row r="4" spans="1:11" x14ac:dyDescent="0.3">
      <c r="A4" s="27"/>
      <c r="B4" s="23"/>
      <c r="C4" s="23"/>
      <c r="D4" s="8"/>
      <c r="E4" s="8"/>
      <c r="F4" s="8"/>
      <c r="G4" s="28"/>
      <c r="H4" s="564"/>
      <c r="I4" s="564"/>
    </row>
    <row r="5" spans="1:11" x14ac:dyDescent="0.3">
      <c r="A5" s="27"/>
      <c r="B5" s="23"/>
      <c r="C5" s="23"/>
      <c r="D5" s="23"/>
      <c r="E5" s="23"/>
      <c r="F5" s="23"/>
      <c r="G5" s="29"/>
      <c r="H5" s="564"/>
      <c r="I5" s="564"/>
    </row>
    <row r="6" spans="1:11" ht="6.75" customHeight="1" x14ac:dyDescent="0.3">
      <c r="A6" s="565"/>
      <c r="B6" s="440"/>
      <c r="C6" s="440"/>
      <c r="D6" s="440"/>
      <c r="E6" s="440"/>
      <c r="F6" s="440"/>
      <c r="G6" s="566"/>
      <c r="H6" s="564"/>
      <c r="I6" s="564"/>
    </row>
    <row r="7" spans="1:11" ht="15" customHeight="1" x14ac:dyDescent="0.3">
      <c r="A7" s="567"/>
      <c r="B7" s="219"/>
      <c r="C7" s="219"/>
      <c r="D7" s="219"/>
      <c r="E7" s="219"/>
      <c r="F7" s="219"/>
      <c r="G7" s="568"/>
      <c r="H7" s="564"/>
      <c r="I7" s="564"/>
    </row>
    <row r="8" spans="1:11" ht="15" customHeight="1" x14ac:dyDescent="0.3">
      <c r="A8" s="569" t="s">
        <v>0</v>
      </c>
      <c r="B8" s="219"/>
      <c r="C8" s="219"/>
      <c r="D8" s="219"/>
      <c r="E8" s="219"/>
      <c r="F8" s="219"/>
      <c r="G8" s="568"/>
      <c r="H8" s="564"/>
      <c r="I8" s="564"/>
    </row>
    <row r="9" spans="1:11" ht="15" customHeight="1" x14ac:dyDescent="0.3">
      <c r="A9" s="567"/>
      <c r="B9" s="219"/>
      <c r="C9" s="30"/>
      <c r="D9" s="30"/>
      <c r="E9" s="30"/>
      <c r="F9" s="30"/>
      <c r="G9" s="31"/>
      <c r="H9" s="564"/>
      <c r="I9" s="564"/>
    </row>
    <row r="10" spans="1:11" ht="14.1" customHeight="1" x14ac:dyDescent="0.3">
      <c r="A10" s="570" t="s">
        <v>731</v>
      </c>
      <c r="B10" s="571"/>
      <c r="C10" s="1459" t="s">
        <v>1</v>
      </c>
      <c r="D10" s="1459"/>
      <c r="E10" s="1459"/>
      <c r="F10" s="1459"/>
      <c r="G10" s="1460"/>
      <c r="H10" s="564"/>
      <c r="I10" s="564"/>
    </row>
    <row r="11" spans="1:11" ht="14.1" customHeight="1" x14ac:dyDescent="0.3">
      <c r="A11" s="570" t="s">
        <v>732</v>
      </c>
      <c r="B11" s="571"/>
      <c r="C11" s="1451"/>
      <c r="D11" s="1451"/>
      <c r="E11" s="1451"/>
      <c r="F11" s="1451"/>
      <c r="G11" s="1452"/>
      <c r="H11" s="564"/>
      <c r="I11" s="564"/>
    </row>
    <row r="12" spans="1:11" ht="14.1" customHeight="1" x14ac:dyDescent="0.3">
      <c r="A12" s="570" t="s">
        <v>733</v>
      </c>
      <c r="B12" s="571"/>
      <c r="C12" s="1451" t="s">
        <v>305</v>
      </c>
      <c r="D12" s="1451"/>
      <c r="E12" s="1451"/>
      <c r="F12" s="1451"/>
      <c r="G12" s="1452"/>
      <c r="H12" s="564"/>
      <c r="I12" s="564"/>
    </row>
    <row r="13" spans="1:11" ht="14.1" customHeight="1" x14ac:dyDescent="0.3">
      <c r="A13" s="570" t="s">
        <v>734</v>
      </c>
      <c r="B13" s="571"/>
      <c r="C13" s="1451"/>
      <c r="D13" s="1451"/>
      <c r="E13" s="1451"/>
      <c r="F13" s="1451"/>
      <c r="G13" s="1452"/>
      <c r="H13" s="564"/>
      <c r="I13" s="564"/>
    </row>
    <row r="14" spans="1:11" ht="14.1" customHeight="1" x14ac:dyDescent="0.3">
      <c r="A14" s="570"/>
      <c r="B14" s="571"/>
      <c r="C14" s="1451"/>
      <c r="D14" s="1451"/>
      <c r="E14" s="1451"/>
      <c r="F14" s="1451"/>
      <c r="G14" s="1452"/>
      <c r="H14" s="564"/>
      <c r="I14" s="564"/>
    </row>
    <row r="15" spans="1:11" ht="14.1" customHeight="1" x14ac:dyDescent="0.3">
      <c r="A15" s="570" t="s">
        <v>735</v>
      </c>
      <c r="B15" s="571"/>
      <c r="C15" s="1451"/>
      <c r="D15" s="1451"/>
      <c r="E15" s="1451"/>
      <c r="F15" s="1451"/>
      <c r="G15" s="1452"/>
      <c r="H15" s="564"/>
      <c r="I15" s="564"/>
    </row>
    <row r="16" spans="1:11" ht="14.1" customHeight="1" x14ac:dyDescent="0.3">
      <c r="A16" s="570" t="s">
        <v>736</v>
      </c>
      <c r="B16" s="571"/>
      <c r="C16" s="1451"/>
      <c r="D16" s="1451"/>
      <c r="E16" s="1451"/>
      <c r="F16" s="1451"/>
      <c r="G16" s="1452"/>
      <c r="H16" s="564"/>
      <c r="I16" s="564"/>
    </row>
    <row r="17" spans="1:9" ht="14.1" customHeight="1" x14ac:dyDescent="0.3">
      <c r="A17" s="570"/>
      <c r="B17" s="571"/>
      <c r="C17" s="1451"/>
      <c r="D17" s="1451"/>
      <c r="E17" s="1451"/>
      <c r="F17" s="1451"/>
      <c r="G17" s="1452"/>
      <c r="H17" s="564"/>
      <c r="I17" s="564"/>
    </row>
    <row r="18" spans="1:9" ht="14.1" customHeight="1" x14ac:dyDescent="0.3">
      <c r="A18" s="570" t="s">
        <v>737</v>
      </c>
      <c r="B18" s="571"/>
      <c r="C18" s="1451"/>
      <c r="D18" s="1451"/>
      <c r="E18" s="1451"/>
      <c r="F18" s="1451"/>
      <c r="G18" s="1452"/>
      <c r="H18" s="564"/>
      <c r="I18" s="564"/>
    </row>
    <row r="19" spans="1:9" ht="14.1" customHeight="1" x14ac:dyDescent="0.3">
      <c r="A19" s="570" t="s">
        <v>746</v>
      </c>
      <c r="B19" s="571"/>
      <c r="C19" s="1451"/>
      <c r="D19" s="1451"/>
      <c r="E19" s="1451"/>
      <c r="F19" s="1451"/>
      <c r="G19" s="1452"/>
      <c r="H19" s="564"/>
      <c r="I19" s="564"/>
    </row>
    <row r="20" spans="1:9" ht="14.1" customHeight="1" x14ac:dyDescent="0.3">
      <c r="A20" s="570" t="s">
        <v>738</v>
      </c>
      <c r="B20" s="571"/>
      <c r="C20" s="1451"/>
      <c r="D20" s="1451"/>
      <c r="E20" s="1451"/>
      <c r="F20" s="1451"/>
      <c r="G20" s="1452"/>
      <c r="H20" s="564"/>
      <c r="I20" s="564"/>
    </row>
    <row r="21" spans="1:9" ht="14.1" customHeight="1" x14ac:dyDescent="0.3">
      <c r="A21" s="570" t="s">
        <v>739</v>
      </c>
      <c r="B21" s="571"/>
      <c r="C21" s="1451" t="s">
        <v>771</v>
      </c>
      <c r="D21" s="1451"/>
      <c r="E21" s="1451"/>
      <c r="F21" s="1451"/>
      <c r="G21" s="1452"/>
      <c r="H21" s="564"/>
      <c r="I21" s="564"/>
    </row>
    <row r="22" spans="1:9" ht="14.1" customHeight="1" x14ac:dyDescent="0.3">
      <c r="A22" s="570" t="s">
        <v>740</v>
      </c>
      <c r="B22" s="571"/>
      <c r="C22" s="1451"/>
      <c r="D22" s="1451"/>
      <c r="E22" s="1451"/>
      <c r="F22" s="1451"/>
      <c r="G22" s="1452"/>
      <c r="H22" s="564"/>
      <c r="I22" s="564"/>
    </row>
    <row r="23" spans="1:9" ht="14.1" customHeight="1" x14ac:dyDescent="0.3">
      <c r="A23" s="570" t="s">
        <v>741</v>
      </c>
      <c r="B23" s="571"/>
      <c r="C23" s="1451"/>
      <c r="D23" s="1451"/>
      <c r="E23" s="1451"/>
      <c r="F23" s="1451"/>
      <c r="G23" s="1452"/>
      <c r="H23" s="564"/>
      <c r="I23" s="564"/>
    </row>
    <row r="24" spans="1:9" ht="14.1" customHeight="1" x14ac:dyDescent="0.3">
      <c r="A24" s="570" t="s">
        <v>742</v>
      </c>
      <c r="B24" s="571"/>
      <c r="C24" s="1451"/>
      <c r="D24" s="1451"/>
      <c r="E24" s="1451"/>
      <c r="F24" s="1451"/>
      <c r="G24" s="1452"/>
      <c r="H24" s="564"/>
      <c r="I24" s="564"/>
    </row>
    <row r="25" spans="1:9" ht="14.1" customHeight="1" x14ac:dyDescent="0.3">
      <c r="A25" s="570" t="s">
        <v>743</v>
      </c>
      <c r="B25" s="571"/>
      <c r="C25" s="1451"/>
      <c r="D25" s="1451"/>
      <c r="E25" s="1451"/>
      <c r="F25" s="1451"/>
      <c r="G25" s="1452"/>
      <c r="H25" s="564"/>
      <c r="I25" s="564"/>
    </row>
    <row r="26" spans="1:9" ht="14.1" customHeight="1" x14ac:dyDescent="0.3">
      <c r="A26" s="570" t="s">
        <v>744</v>
      </c>
      <c r="B26" s="571"/>
      <c r="C26" s="1451"/>
      <c r="D26" s="1451"/>
      <c r="E26" s="1451"/>
      <c r="F26" s="1451"/>
      <c r="G26" s="1452"/>
      <c r="H26" s="564"/>
      <c r="I26" s="564"/>
    </row>
    <row r="27" spans="1:9" ht="14.1" customHeight="1" x14ac:dyDescent="0.3">
      <c r="A27" s="570"/>
      <c r="B27" s="571"/>
      <c r="C27" s="1451"/>
      <c r="D27" s="1451"/>
      <c r="E27" s="1451"/>
      <c r="F27" s="1451"/>
      <c r="G27" s="1452"/>
      <c r="H27" s="564"/>
      <c r="I27" s="564"/>
    </row>
    <row r="28" spans="1:9" ht="14.1" customHeight="1" x14ac:dyDescent="0.3">
      <c r="A28" s="570" t="s">
        <v>745</v>
      </c>
      <c r="B28" s="572" t="s">
        <v>616</v>
      </c>
      <c r="C28" s="1442" t="s">
        <v>2</v>
      </c>
      <c r="D28" s="1442"/>
      <c r="E28" s="1442"/>
      <c r="F28" s="1442"/>
      <c r="G28" s="1443"/>
      <c r="H28" s="564"/>
      <c r="I28" s="564"/>
    </row>
    <row r="29" spans="1:9" ht="14.1" customHeight="1" x14ac:dyDescent="0.3">
      <c r="A29" s="570"/>
      <c r="B29" s="572" t="s">
        <v>617</v>
      </c>
      <c r="C29" s="1442" t="s">
        <v>2</v>
      </c>
      <c r="D29" s="1442"/>
      <c r="E29" s="1442"/>
      <c r="F29" s="1442"/>
      <c r="G29" s="1443"/>
      <c r="H29" s="564"/>
      <c r="I29" s="564"/>
    </row>
    <row r="30" spans="1:9" x14ac:dyDescent="0.3">
      <c r="A30" s="570"/>
      <c r="B30" s="571"/>
      <c r="C30" s="32"/>
      <c r="D30" s="32"/>
      <c r="E30" s="32"/>
      <c r="F30" s="32"/>
      <c r="G30" s="32"/>
      <c r="H30" s="564"/>
      <c r="I30" s="564"/>
    </row>
    <row r="31" spans="1:9" x14ac:dyDescent="0.3">
      <c r="A31" s="570"/>
      <c r="B31" s="571"/>
      <c r="C31" s="32"/>
      <c r="D31" s="32"/>
      <c r="E31" s="32"/>
      <c r="F31" s="32"/>
      <c r="G31" s="32"/>
      <c r="H31" s="564"/>
      <c r="I31" s="564"/>
    </row>
    <row r="32" spans="1:9" x14ac:dyDescent="0.3">
      <c r="A32" s="570"/>
      <c r="B32" s="571"/>
      <c r="C32" s="1447"/>
      <c r="D32" s="1447"/>
      <c r="E32" s="1447"/>
      <c r="F32" s="1447"/>
      <c r="G32" s="1447"/>
      <c r="H32" s="564"/>
      <c r="I32" s="564"/>
    </row>
    <row r="33" spans="1:9" x14ac:dyDescent="0.3">
      <c r="A33" s="570"/>
      <c r="B33" s="571"/>
      <c r="C33" s="1447"/>
      <c r="D33" s="1447"/>
      <c r="E33" s="1447"/>
      <c r="F33" s="1447"/>
      <c r="G33" s="1447"/>
      <c r="H33" s="564"/>
      <c r="I33" s="564"/>
    </row>
    <row r="34" spans="1:9" x14ac:dyDescent="0.3">
      <c r="A34" s="570" t="s">
        <v>747</v>
      </c>
      <c r="B34" s="571"/>
      <c r="C34" s="1447"/>
      <c r="D34" s="1447"/>
      <c r="E34" s="1447"/>
      <c r="F34" s="1447"/>
      <c r="G34" s="1447"/>
      <c r="H34" s="564"/>
      <c r="I34" s="564"/>
    </row>
    <row r="35" spans="1:9" x14ac:dyDescent="0.3">
      <c r="A35" s="570" t="s">
        <v>748</v>
      </c>
      <c r="B35" s="571"/>
      <c r="C35" s="1442" t="s">
        <v>3</v>
      </c>
      <c r="D35" s="1442"/>
      <c r="E35" s="1442"/>
      <c r="F35" s="1442"/>
      <c r="G35" s="1443"/>
      <c r="H35" s="564"/>
      <c r="I35" s="564"/>
    </row>
    <row r="36" spans="1:9" x14ac:dyDescent="0.3">
      <c r="A36" s="570"/>
      <c r="B36" s="571"/>
      <c r="C36" s="32"/>
      <c r="D36" s="32"/>
      <c r="E36" s="32"/>
      <c r="F36" s="32"/>
      <c r="G36" s="33"/>
      <c r="H36" s="564"/>
      <c r="I36" s="564"/>
    </row>
    <row r="37" spans="1:9" x14ac:dyDescent="0.3">
      <c r="A37" s="570" t="s">
        <v>749</v>
      </c>
      <c r="B37" s="571"/>
      <c r="C37" s="1448" t="s">
        <v>967</v>
      </c>
      <c r="D37" s="1448"/>
      <c r="E37" s="573" t="s">
        <v>751</v>
      </c>
      <c r="F37" s="1448" t="s">
        <v>1094</v>
      </c>
      <c r="G37" s="1450"/>
      <c r="H37" s="564"/>
      <c r="I37" s="564"/>
    </row>
    <row r="38" spans="1:9" x14ac:dyDescent="0.3">
      <c r="A38" s="570" t="s">
        <v>750</v>
      </c>
      <c r="C38" s="1448" t="s">
        <v>968</v>
      </c>
      <c r="D38" s="1448"/>
      <c r="F38" s="1448"/>
      <c r="G38" s="1450"/>
    </row>
    <row r="39" spans="1:9" x14ac:dyDescent="0.3">
      <c r="A39" s="567"/>
      <c r="B39" s="219"/>
      <c r="C39" s="1449" t="s">
        <v>418</v>
      </c>
      <c r="D39" s="1449"/>
      <c r="E39" s="574"/>
      <c r="F39" s="1449" t="s">
        <v>418</v>
      </c>
      <c r="G39" s="1449"/>
      <c r="H39" s="564"/>
      <c r="I39" s="564"/>
    </row>
    <row r="40" spans="1:9" x14ac:dyDescent="0.3">
      <c r="A40" s="567" t="s">
        <v>4</v>
      </c>
      <c r="B40" s="219"/>
      <c r="C40" s="216"/>
      <c r="D40" s="216"/>
      <c r="E40" s="564"/>
      <c r="F40" s="564"/>
      <c r="G40" s="564"/>
      <c r="H40" s="564"/>
      <c r="I40" s="564"/>
    </row>
    <row r="41" spans="1:9" x14ac:dyDescent="0.3">
      <c r="A41" s="564"/>
      <c r="B41" s="564"/>
      <c r="C41" s="564"/>
      <c r="D41" s="564"/>
      <c r="E41" s="564"/>
      <c r="F41" s="564"/>
      <c r="G41" s="564"/>
      <c r="H41" s="564"/>
      <c r="I41" s="564"/>
    </row>
    <row r="42" spans="1:9" ht="14.1" customHeight="1" x14ac:dyDescent="0.3">
      <c r="A42" s="52"/>
      <c r="B42" s="513" t="s">
        <v>416</v>
      </c>
      <c r="C42" s="553" t="s">
        <v>476</v>
      </c>
      <c r="D42" s="34" t="str">
        <f>IF('2.1 Général'!I42,"non conforme","conforme")</f>
        <v>non conforme</v>
      </c>
      <c r="E42" s="553" t="s">
        <v>483</v>
      </c>
      <c r="F42" s="34" t="str">
        <f>IF('2.9 Tension'!H60&gt;0,"non conforme","conforme")</f>
        <v>non conforme</v>
      </c>
      <c r="G42" s="564"/>
      <c r="H42" s="564"/>
    </row>
    <row r="43" spans="1:9" ht="14.1" customHeight="1" x14ac:dyDescent="0.3">
      <c r="A43" s="1444" t="s">
        <v>618</v>
      </c>
      <c r="B43" s="1445"/>
      <c r="C43" s="553" t="s">
        <v>25</v>
      </c>
      <c r="D43" s="34" t="str">
        <f>IF('2.2 Compression'!I44,"non conforme","conforme")</f>
        <v>non conforme</v>
      </c>
      <c r="E43" s="553" t="s">
        <v>1093</v>
      </c>
      <c r="F43" s="34" t="str">
        <f>IF('2.10-11-12 CDA_Kerma_DGM'!I64&gt;0,"non conforme","conforme")</f>
        <v>non conforme</v>
      </c>
      <c r="G43" s="564"/>
      <c r="H43" s="564"/>
    </row>
    <row r="44" spans="1:9" ht="14.1" customHeight="1" x14ac:dyDescent="0.3">
      <c r="A44" s="1444" t="s">
        <v>417</v>
      </c>
      <c r="B44" s="1445"/>
      <c r="C44" s="553" t="s">
        <v>477</v>
      </c>
      <c r="D44" s="34" t="str">
        <f>IF('2.3 SEA'!K44,"non conforme","conforme")</f>
        <v>conforme</v>
      </c>
      <c r="E44" s="553" t="s">
        <v>484</v>
      </c>
      <c r="F44" s="34" t="str">
        <f>IF('2.13 Align'!I66&gt;0,"non conforme","conforme")</f>
        <v>non conforme</v>
      </c>
      <c r="G44" s="564"/>
      <c r="H44" s="564"/>
    </row>
    <row r="45" spans="1:9" ht="14.1" customHeight="1" x14ac:dyDescent="0.3">
      <c r="A45" s="564"/>
      <c r="B45" s="564"/>
      <c r="C45" s="553" t="s">
        <v>478</v>
      </c>
      <c r="D45" s="34" t="str">
        <f>IF(('2.4 Détecteur(lin)'!K71+'2.4 Détecteur(log)'!K58)&gt;0,"non conforme","conforme")</f>
        <v>non conforme</v>
      </c>
      <c r="E45" s="553" t="s">
        <v>485</v>
      </c>
      <c r="F45" s="34" t="str">
        <f>IF(('2.14 abMON'!I56+'2.14 abMON (2)'!I56+'2.14 abMON (3)'!I56)&gt;0,"non conforme","conforme")</f>
        <v>non conforme</v>
      </c>
      <c r="G45" s="564"/>
      <c r="H45" s="564"/>
    </row>
    <row r="46" spans="1:9" ht="14.1" customHeight="1" x14ac:dyDescent="0.3">
      <c r="A46" s="564"/>
      <c r="B46" s="564"/>
      <c r="C46" s="553" t="s">
        <v>479</v>
      </c>
      <c r="D46" s="34" t="str">
        <f>IF('2.5-2.6 Artéfacts'!J49&gt;0,"non conforme","conforme")</f>
        <v>non conforme</v>
      </c>
      <c r="E46" s="553" t="s">
        <v>486</v>
      </c>
      <c r="F46" s="34" t="str">
        <f>IF(('2.14 cMON'!K58+'2.14 cMON (2)'!K58+'2.14 cMON (3)'!K58)&gt;0,"non conforme","conforme")</f>
        <v>non conforme</v>
      </c>
      <c r="G46" s="564"/>
      <c r="H46" s="564"/>
    </row>
    <row r="47" spans="1:9" ht="14.1" customHeight="1" x14ac:dyDescent="0.3">
      <c r="A47" s="564"/>
      <c r="B47" s="564"/>
      <c r="C47" s="553" t="s">
        <v>480</v>
      </c>
      <c r="D47" s="34" t="str">
        <f>IF(Éqpmt!B6="DR",IF('2.7 Homog-DR'!I68&gt;0,"non conforme","conforme"),IF(OR('2.7 Homog-CR'!I69&gt;0,'2.7 Homog-CR'!I68&gt;0),"non conforme","conforme"))</f>
        <v>non conforme</v>
      </c>
      <c r="E47" s="553" t="s">
        <v>487</v>
      </c>
      <c r="F47" s="34" t="str">
        <f>IF('2.15 Fantôme'!I49&gt;0,"non conforme","conforme")</f>
        <v>non conforme</v>
      </c>
      <c r="G47" s="564"/>
      <c r="H47" s="564"/>
    </row>
    <row r="48" spans="1:9" ht="14.1" customHeight="1" x14ac:dyDescent="0.3">
      <c r="A48" s="564"/>
      <c r="B48" s="564"/>
      <c r="C48" s="553" t="s">
        <v>481</v>
      </c>
      <c r="D48" s="34" t="str">
        <f>IF(Éqpmt!B6="DR","n.a.",IF('2.7 Unifo'!J60&gt;0,"non conforme","conforme"))</f>
        <v>n.a.</v>
      </c>
      <c r="E48" s="553" t="s">
        <v>488</v>
      </c>
      <c r="F48" s="34" t="str">
        <f>IF('2.16 Blindage'!J33&gt;0,"non conforme","conforme")</f>
        <v>conforme</v>
      </c>
      <c r="G48" s="564"/>
      <c r="H48" s="564"/>
    </row>
    <row r="49" spans="1:8" ht="14.1" customHeight="1" x14ac:dyDescent="0.3">
      <c r="A49" s="564"/>
      <c r="B49" s="564"/>
      <c r="C49" s="575" t="s">
        <v>482</v>
      </c>
      <c r="D49" s="34" t="str">
        <f>IF('2.8 FTM-2.9 stab'!J37&gt;0,"non conforme","conforme")</f>
        <v>conforme</v>
      </c>
      <c r="E49" s="575" t="s">
        <v>752</v>
      </c>
      <c r="F49" s="554"/>
      <c r="G49" s="564"/>
      <c r="H49" s="564"/>
    </row>
    <row r="50" spans="1:8" x14ac:dyDescent="0.3">
      <c r="A50" s="1446" t="s">
        <v>64</v>
      </c>
      <c r="B50" s="1446"/>
      <c r="C50" s="52"/>
      <c r="D50" s="52"/>
      <c r="E50" s="52"/>
      <c r="F50" s="52"/>
      <c r="G50" s="52"/>
      <c r="H50" s="564"/>
    </row>
    <row r="51" spans="1:8" x14ac:dyDescent="0.3">
      <c r="A51" s="1441"/>
      <c r="B51" s="1441"/>
      <c r="C51" s="1441"/>
      <c r="D51" s="1441"/>
      <c r="E51" s="1441"/>
      <c r="F51" s="1441"/>
      <c r="G51" s="1441"/>
      <c r="H51" s="564"/>
    </row>
    <row r="52" spans="1:8" x14ac:dyDescent="0.3">
      <c r="A52" s="1441"/>
      <c r="B52" s="1441"/>
      <c r="C52" s="1441"/>
      <c r="D52" s="1441"/>
      <c r="E52" s="1441"/>
      <c r="F52" s="1441"/>
      <c r="G52" s="1441"/>
      <c r="H52" s="564"/>
    </row>
    <row r="53" spans="1:8" x14ac:dyDescent="0.3">
      <c r="A53" s="1441"/>
      <c r="B53" s="1441"/>
      <c r="C53" s="1441"/>
      <c r="D53" s="1441"/>
      <c r="E53" s="1441"/>
      <c r="F53" s="1441"/>
      <c r="G53" s="1441"/>
      <c r="H53" s="564"/>
    </row>
    <row r="54" spans="1:8" x14ac:dyDescent="0.3">
      <c r="A54" s="576"/>
      <c r="B54" s="1440"/>
      <c r="C54" s="1440"/>
      <c r="D54" s="564"/>
      <c r="E54" s="564"/>
      <c r="F54" s="564"/>
      <c r="G54" s="564"/>
      <c r="H54" s="564"/>
    </row>
    <row r="55" spans="1:8" x14ac:dyDescent="0.3">
      <c r="A55" s="564"/>
      <c r="B55" s="564"/>
      <c r="C55" s="564"/>
      <c r="D55" s="564"/>
      <c r="E55" s="564"/>
      <c r="F55" s="564"/>
      <c r="G55" s="564"/>
      <c r="H55" s="564"/>
    </row>
  </sheetData>
  <sheetProtection algorithmName="SHA-512" hashValue="fbOQwjra2TwGkwTDEhpZrvfBQakYFcCKB+5I7ZCxC07NZD+5rU6RVQcw+uW2IWCsqNvx4AXskQ4g/4ZpMM91qw==" saltValue="4o126OotWv1KenamiypYxw==" spinCount="100000" sheet="1" selectLockedCells="1"/>
  <mergeCells count="39">
    <mergeCell ref="C17:G17"/>
    <mergeCell ref="B1:C1"/>
    <mergeCell ref="D1:G1"/>
    <mergeCell ref="B2:C2"/>
    <mergeCell ref="D2:G2"/>
    <mergeCell ref="C10:G10"/>
    <mergeCell ref="C11:G11"/>
    <mergeCell ref="C12:G12"/>
    <mergeCell ref="C13:G13"/>
    <mergeCell ref="C14:G14"/>
    <mergeCell ref="C15:G15"/>
    <mergeCell ref="C16:G16"/>
    <mergeCell ref="C28:G28"/>
    <mergeCell ref="C18:G18"/>
    <mergeCell ref="C19:G19"/>
    <mergeCell ref="C20:G20"/>
    <mergeCell ref="C21:G21"/>
    <mergeCell ref="C22:G22"/>
    <mergeCell ref="C23:G23"/>
    <mergeCell ref="C24:G24"/>
    <mergeCell ref="C25:G25"/>
    <mergeCell ref="C26:G26"/>
    <mergeCell ref="C27:G27"/>
    <mergeCell ref="B54:C54"/>
    <mergeCell ref="A53:G53"/>
    <mergeCell ref="C29:G29"/>
    <mergeCell ref="C35:G35"/>
    <mergeCell ref="A43:B43"/>
    <mergeCell ref="A44:B44"/>
    <mergeCell ref="A50:B50"/>
    <mergeCell ref="A51:G51"/>
    <mergeCell ref="A52:G52"/>
    <mergeCell ref="C32:G34"/>
    <mergeCell ref="C37:D37"/>
    <mergeCell ref="C39:D39"/>
    <mergeCell ref="F39:G39"/>
    <mergeCell ref="F37:G37"/>
    <mergeCell ref="C38:D38"/>
    <mergeCell ref="F38:G38"/>
  </mergeCells>
  <conditionalFormatting sqref="F42:F49 D42:D49">
    <cfRule type="containsText" dxfId="152" priority="1" operator="containsText" text="non conforme">
      <formula>NOT(ISERROR(SEARCH("non conforme",D42)))</formula>
    </cfRule>
  </conditionalFormatting>
  <printOptions horizontalCentered="1" verticalCentered="1"/>
  <pageMargins left="0.70866141732283472" right="0.70866141732283472" top="0.74803149606299213" bottom="0.74803149606299213" header="0.31496062992125984" footer="0.31496062992125984"/>
  <pageSetup scale="82" orientation="portrait" r:id="rId1"/>
  <headerFooter differentFirst="1">
    <oddFooter>&amp;CPage &amp;P de &amp;N</oddFooter>
    <firstFooter>&amp;L&amp;"Arial,Italique"&amp;8GuideFormulaire-V2.0.4-13avril2021
&amp;C&amp;P de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
    <tabColor theme="3" tint="-0.249977111117893"/>
    <pageSetUpPr fitToPage="1"/>
  </sheetPr>
  <dimension ref="A1:X69"/>
  <sheetViews>
    <sheetView topLeftCell="A16" zoomScaleNormal="100" workbookViewId="0">
      <selection activeCell="B40" sqref="B40"/>
    </sheetView>
  </sheetViews>
  <sheetFormatPr baseColWidth="10" defaultColWidth="10.6640625" defaultRowHeight="14.4" x14ac:dyDescent="0.3"/>
  <cols>
    <col min="1" max="1" width="33.6640625" style="50" customWidth="1"/>
    <col min="2" max="2" width="31.6640625" style="50" customWidth="1"/>
    <col min="3" max="3" width="3.6640625" style="50" customWidth="1"/>
    <col min="4" max="4" width="26.33203125" style="50" customWidth="1"/>
    <col min="5" max="5" width="31.44140625" style="50" customWidth="1"/>
    <col min="6" max="6" width="10.6640625" style="103"/>
    <col min="7" max="16384" width="10.6640625" style="50"/>
  </cols>
  <sheetData>
    <row r="1" spans="1:20" x14ac:dyDescent="0.3">
      <c r="A1" s="53" t="s">
        <v>753</v>
      </c>
      <c r="B1" s="54" t="str">
        <f>+Info!C10</f>
        <v>Clinique Ste-Mammo</v>
      </c>
      <c r="C1" s="54"/>
      <c r="D1" s="577" t="s">
        <v>755</v>
      </c>
      <c r="E1" s="57" t="str">
        <f>+Info!C37</f>
        <v>20-01-2020</v>
      </c>
    </row>
    <row r="2" spans="1:20" x14ac:dyDescent="0.3">
      <c r="A2" s="58" t="s">
        <v>754</v>
      </c>
      <c r="B2" s="59" t="str">
        <f>+Info!C21</f>
        <v>Salle 2, Hirad IV</v>
      </c>
      <c r="C2" s="59"/>
      <c r="D2" s="578" t="s">
        <v>756</v>
      </c>
      <c r="E2" s="61" t="str">
        <f>+Info!C35</f>
        <v>Alexandre Toussaint</v>
      </c>
    </row>
    <row r="3" spans="1:20" x14ac:dyDescent="0.3">
      <c r="A3" s="71"/>
      <c r="B3" s="71"/>
      <c r="C3" s="71"/>
      <c r="D3" s="71"/>
      <c r="E3" s="71"/>
      <c r="G3" s="584" t="s">
        <v>396</v>
      </c>
      <c r="H3" s="584" t="s">
        <v>397</v>
      </c>
    </row>
    <row r="4" spans="1:20" x14ac:dyDescent="0.3">
      <c r="A4" s="579" t="s">
        <v>5</v>
      </c>
      <c r="B4" s="580"/>
      <c r="C4" s="580"/>
      <c r="D4" s="580"/>
      <c r="E4" s="580"/>
      <c r="G4" s="584" t="s">
        <v>141</v>
      </c>
      <c r="H4" s="587">
        <v>2024</v>
      </c>
      <c r="M4" s="581"/>
      <c r="N4" s="581"/>
      <c r="O4" s="581"/>
      <c r="P4" s="581"/>
      <c r="Q4" s="581"/>
      <c r="R4" s="581"/>
      <c r="S4" s="581"/>
      <c r="T4" s="581"/>
    </row>
    <row r="5" spans="1:20" ht="12.6" customHeight="1" x14ac:dyDescent="0.3">
      <c r="A5" s="580"/>
      <c r="B5" s="580"/>
      <c r="C5" s="580"/>
      <c r="D5" s="580"/>
      <c r="E5" s="580"/>
      <c r="G5" s="589" t="s">
        <v>83</v>
      </c>
      <c r="H5" s="587">
        <v>2023</v>
      </c>
      <c r="M5" s="581"/>
      <c r="N5" s="581"/>
      <c r="O5" s="581"/>
      <c r="P5" s="581"/>
      <c r="Q5" s="581"/>
      <c r="R5" s="581"/>
      <c r="S5" s="581"/>
      <c r="T5" s="581"/>
    </row>
    <row r="6" spans="1:20" x14ac:dyDescent="0.3">
      <c r="A6" s="582" t="s">
        <v>757</v>
      </c>
      <c r="B6" s="381" t="s">
        <v>83</v>
      </c>
      <c r="C6" s="225"/>
      <c r="D6" s="100" t="s">
        <v>6</v>
      </c>
      <c r="E6" s="583" t="s">
        <v>619</v>
      </c>
      <c r="H6" s="587">
        <v>2022</v>
      </c>
      <c r="J6" s="162" t="s">
        <v>419</v>
      </c>
      <c r="K6" s="162" t="s">
        <v>429</v>
      </c>
    </row>
    <row r="7" spans="1:20" x14ac:dyDescent="0.3">
      <c r="A7" s="585" t="s">
        <v>758</v>
      </c>
      <c r="B7" s="381" t="s">
        <v>51</v>
      </c>
      <c r="C7" s="225"/>
      <c r="D7" s="586" t="s">
        <v>7</v>
      </c>
      <c r="E7" s="599"/>
      <c r="F7" s="581"/>
      <c r="H7" s="587">
        <v>2021</v>
      </c>
      <c r="I7" s="581"/>
      <c r="J7" s="588" t="s">
        <v>46</v>
      </c>
      <c r="K7" s="588" t="s">
        <v>420</v>
      </c>
      <c r="L7" s="581"/>
      <c r="M7" s="581"/>
      <c r="N7" s="581"/>
      <c r="O7" s="581"/>
      <c r="P7" s="1464"/>
      <c r="Q7" s="1464"/>
      <c r="R7" s="1465"/>
      <c r="S7" s="1465"/>
      <c r="T7" s="581"/>
    </row>
    <row r="8" spans="1:20" x14ac:dyDescent="0.3">
      <c r="A8" s="224" t="s">
        <v>12</v>
      </c>
      <c r="B8" s="382"/>
      <c r="C8" s="225"/>
      <c r="D8" s="103"/>
      <c r="E8" s="7"/>
      <c r="F8" s="71"/>
      <c r="H8" s="587">
        <v>2020</v>
      </c>
      <c r="I8" s="71"/>
      <c r="J8" s="588" t="s">
        <v>49</v>
      </c>
      <c r="K8" s="588" t="s">
        <v>421</v>
      </c>
      <c r="L8" s="71"/>
      <c r="M8" s="71"/>
      <c r="N8" s="71"/>
      <c r="O8" s="581"/>
      <c r="P8" s="1464"/>
      <c r="Q8" s="1464"/>
      <c r="R8" s="1465"/>
      <c r="S8" s="1465"/>
      <c r="T8" s="581"/>
    </row>
    <row r="9" spans="1:20" x14ac:dyDescent="0.3">
      <c r="A9" s="224" t="s">
        <v>759</v>
      </c>
      <c r="B9" s="382"/>
      <c r="C9" s="225"/>
      <c r="D9" s="72" t="s">
        <v>620</v>
      </c>
      <c r="E9" s="530"/>
      <c r="F9" s="217"/>
      <c r="H9" s="587">
        <v>2019</v>
      </c>
      <c r="I9" s="217"/>
      <c r="J9" s="588" t="s">
        <v>44</v>
      </c>
      <c r="K9" s="588" t="s">
        <v>422</v>
      </c>
      <c r="L9" s="217"/>
      <c r="M9" s="217"/>
      <c r="N9" s="217"/>
      <c r="O9" s="1463"/>
      <c r="P9" s="1463"/>
      <c r="Q9" s="1463"/>
      <c r="R9" s="1463"/>
      <c r="S9" s="1463"/>
      <c r="T9" s="1463"/>
    </row>
    <row r="10" spans="1:20" x14ac:dyDescent="0.3">
      <c r="A10" s="224" t="s">
        <v>761</v>
      </c>
      <c r="B10" s="381">
        <v>2020</v>
      </c>
      <c r="C10" s="225"/>
      <c r="D10" s="221" t="s">
        <v>11</v>
      </c>
      <c r="E10" s="530"/>
      <c r="F10" s="581"/>
      <c r="G10" s="581"/>
      <c r="H10" s="587">
        <v>2018</v>
      </c>
      <c r="I10" s="581"/>
      <c r="J10" s="588" t="s">
        <v>51</v>
      </c>
      <c r="K10" s="590"/>
      <c r="L10" s="581"/>
      <c r="M10" s="581"/>
      <c r="N10" s="581"/>
      <c r="O10" s="581"/>
      <c r="P10" s="1464"/>
      <c r="Q10" s="1464"/>
      <c r="R10" s="1465"/>
      <c r="S10" s="1465"/>
      <c r="T10" s="581"/>
    </row>
    <row r="11" spans="1:20" x14ac:dyDescent="0.3">
      <c r="A11" s="224" t="s">
        <v>760</v>
      </c>
      <c r="B11" s="382"/>
      <c r="C11" s="225"/>
      <c r="D11" s="221" t="s">
        <v>12</v>
      </c>
      <c r="E11" s="530"/>
      <c r="F11" s="564"/>
      <c r="G11" s="591"/>
      <c r="H11" s="587">
        <v>2017</v>
      </c>
      <c r="I11" s="591"/>
      <c r="J11" s="588" t="s">
        <v>392</v>
      </c>
      <c r="K11" s="591"/>
      <c r="L11" s="217"/>
      <c r="M11" s="217"/>
      <c r="N11" s="217"/>
      <c r="O11" s="581"/>
      <c r="P11" s="1464"/>
      <c r="Q11" s="1464"/>
      <c r="R11" s="1465"/>
      <c r="S11" s="1465"/>
      <c r="T11" s="581"/>
    </row>
    <row r="12" spans="1:20" x14ac:dyDescent="0.3">
      <c r="A12" s="586"/>
      <c r="B12" s="32"/>
      <c r="C12" s="586"/>
      <c r="D12" s="221" t="s">
        <v>759</v>
      </c>
      <c r="E12" s="530"/>
      <c r="F12" s="581"/>
      <c r="G12" s="581"/>
      <c r="H12" s="587">
        <v>2016</v>
      </c>
      <c r="I12" s="581"/>
      <c r="J12" s="588" t="s">
        <v>48</v>
      </c>
      <c r="K12" s="581"/>
      <c r="L12" s="581"/>
      <c r="M12" s="581"/>
      <c r="N12" s="581"/>
      <c r="O12" s="581"/>
      <c r="P12" s="592"/>
      <c r="Q12" s="592"/>
      <c r="R12" s="581"/>
      <c r="S12" s="581"/>
      <c r="T12" s="581"/>
    </row>
    <row r="13" spans="1:20" x14ac:dyDescent="0.3">
      <c r="A13" s="585" t="s">
        <v>1098</v>
      </c>
      <c r="B13" s="1322"/>
      <c r="C13" s="586"/>
      <c r="D13" s="217"/>
      <c r="E13" s="385"/>
      <c r="F13" s="581"/>
      <c r="G13" s="581"/>
      <c r="H13" s="587">
        <v>2015</v>
      </c>
      <c r="I13" s="581"/>
      <c r="J13" s="588"/>
      <c r="K13" s="581"/>
      <c r="L13" s="581"/>
      <c r="M13" s="581"/>
      <c r="N13" s="581"/>
      <c r="O13" s="581"/>
      <c r="P13" s="581"/>
      <c r="Q13" s="581"/>
      <c r="R13" s="581"/>
      <c r="S13" s="581"/>
      <c r="T13" s="581"/>
    </row>
    <row r="14" spans="1:20" x14ac:dyDescent="0.3">
      <c r="A14" s="224" t="s">
        <v>759</v>
      </c>
      <c r="B14" s="382"/>
      <c r="C14" s="225"/>
      <c r="D14" s="72" t="s">
        <v>621</v>
      </c>
      <c r="E14" s="530"/>
      <c r="F14" s="564"/>
      <c r="G14" s="591"/>
      <c r="H14" s="587">
        <v>2014</v>
      </c>
      <c r="I14" s="591"/>
      <c r="J14" s="591"/>
      <c r="K14" s="581"/>
      <c r="L14" s="581"/>
      <c r="M14" s="581"/>
      <c r="N14" s="581"/>
      <c r="O14" s="581"/>
      <c r="P14" s="581"/>
      <c r="Q14" s="581"/>
      <c r="R14" s="581"/>
      <c r="S14" s="581"/>
    </row>
    <row r="15" spans="1:20" x14ac:dyDescent="0.3">
      <c r="A15" s="224" t="s">
        <v>761</v>
      </c>
      <c r="B15" s="381">
        <v>2013</v>
      </c>
      <c r="C15" s="225"/>
      <c r="D15" s="221" t="s">
        <v>11</v>
      </c>
      <c r="E15" s="530"/>
      <c r="F15" s="581"/>
      <c r="G15" s="581"/>
      <c r="H15" s="587">
        <v>2013</v>
      </c>
      <c r="I15" s="581"/>
      <c r="J15" s="581"/>
      <c r="K15" s="581"/>
      <c r="L15" s="581"/>
      <c r="M15" s="581"/>
      <c r="N15" s="581"/>
      <c r="O15" s="581"/>
      <c r="P15" s="581"/>
      <c r="Q15" s="581"/>
      <c r="R15" s="581"/>
      <c r="S15" s="581"/>
    </row>
    <row r="16" spans="1:20" x14ac:dyDescent="0.3">
      <c r="A16" s="586" t="s">
        <v>762</v>
      </c>
      <c r="B16" s="382"/>
      <c r="C16" s="225"/>
      <c r="D16" s="221" t="s">
        <v>12</v>
      </c>
      <c r="E16" s="530"/>
      <c r="F16" s="217"/>
      <c r="G16" s="217"/>
      <c r="H16" s="587">
        <v>2012</v>
      </c>
      <c r="I16" s="217"/>
      <c r="L16" s="217"/>
      <c r="M16" s="217"/>
      <c r="N16" s="581"/>
      <c r="O16" s="581"/>
      <c r="P16" s="581"/>
      <c r="Q16" s="581"/>
      <c r="R16" s="581"/>
      <c r="S16" s="581"/>
    </row>
    <row r="17" spans="1:20" x14ac:dyDescent="0.3">
      <c r="A17" s="224" t="s">
        <v>763</v>
      </c>
      <c r="B17" s="382"/>
      <c r="C17" s="225"/>
      <c r="D17" s="221" t="s">
        <v>759</v>
      </c>
      <c r="E17" s="530"/>
      <c r="F17" s="217"/>
      <c r="G17" s="217"/>
      <c r="H17" s="587">
        <v>2011</v>
      </c>
      <c r="I17" s="217"/>
      <c r="L17" s="217"/>
      <c r="M17" s="217"/>
      <c r="N17" s="217"/>
      <c r="O17" s="581"/>
      <c r="P17" s="581"/>
      <c r="Q17" s="581"/>
    </row>
    <row r="18" spans="1:20" x14ac:dyDescent="0.3">
      <c r="A18" s="586" t="s">
        <v>764</v>
      </c>
      <c r="B18" s="382"/>
      <c r="C18" s="225"/>
      <c r="E18" s="7"/>
      <c r="F18" s="217"/>
      <c r="G18" s="581"/>
      <c r="H18" s="587">
        <v>2010</v>
      </c>
      <c r="I18" s="581"/>
      <c r="L18" s="217"/>
      <c r="M18" s="217"/>
      <c r="N18" s="217"/>
      <c r="O18" s="593"/>
      <c r="P18" s="581"/>
      <c r="Q18" s="581"/>
    </row>
    <row r="19" spans="1:20" x14ac:dyDescent="0.3">
      <c r="A19" s="224"/>
      <c r="B19" s="32"/>
      <c r="C19" s="225"/>
      <c r="D19" s="594" t="s">
        <v>622</v>
      </c>
      <c r="E19" s="531"/>
      <c r="F19" s="581"/>
      <c r="G19" s="581"/>
      <c r="H19" s="587">
        <v>2009</v>
      </c>
      <c r="I19" s="581"/>
      <c r="J19" s="75"/>
      <c r="K19" s="217"/>
      <c r="L19" s="217"/>
      <c r="M19" s="217"/>
      <c r="N19" s="217"/>
      <c r="O19" s="581"/>
      <c r="P19" s="581"/>
      <c r="Q19" s="581"/>
    </row>
    <row r="20" spans="1:20" x14ac:dyDescent="0.3">
      <c r="A20" s="585" t="s">
        <v>770</v>
      </c>
      <c r="B20" s="382"/>
      <c r="C20" s="586"/>
      <c r="D20" s="221" t="s">
        <v>11</v>
      </c>
      <c r="E20" s="530"/>
      <c r="F20" s="581"/>
      <c r="G20" s="581"/>
      <c r="H20" s="587">
        <v>2008</v>
      </c>
      <c r="I20" s="581"/>
      <c r="J20" s="581"/>
      <c r="K20" s="217"/>
      <c r="L20" s="217"/>
      <c r="M20" s="217"/>
      <c r="N20" s="217"/>
      <c r="O20" s="581"/>
      <c r="P20" s="581"/>
      <c r="Q20" s="581"/>
    </row>
    <row r="21" spans="1:20" x14ac:dyDescent="0.3">
      <c r="A21" s="224" t="s">
        <v>765</v>
      </c>
      <c r="B21" s="382"/>
      <c r="C21" s="586"/>
      <c r="D21" s="221" t="s">
        <v>12</v>
      </c>
      <c r="E21" s="530"/>
      <c r="F21" s="581"/>
      <c r="G21" s="581"/>
      <c r="H21" s="587">
        <v>2007</v>
      </c>
      <c r="I21" s="581"/>
      <c r="J21" s="581"/>
      <c r="K21" s="217"/>
      <c r="L21" s="217"/>
      <c r="M21" s="217"/>
      <c r="N21" s="217"/>
      <c r="O21" s="581"/>
      <c r="P21" s="581"/>
      <c r="Q21" s="581"/>
    </row>
    <row r="22" spans="1:20" x14ac:dyDescent="0.3">
      <c r="A22" s="224" t="s">
        <v>766</v>
      </c>
      <c r="B22" s="382"/>
      <c r="C22" s="225"/>
      <c r="D22" s="221" t="s">
        <v>759</v>
      </c>
      <c r="E22" s="530"/>
      <c r="F22" s="581"/>
      <c r="G22" s="581"/>
      <c r="H22" s="587">
        <v>2006</v>
      </c>
      <c r="I22" s="581"/>
      <c r="J22" s="581"/>
      <c r="K22" s="217"/>
      <c r="L22" s="217"/>
      <c r="M22" s="217"/>
      <c r="N22" s="217"/>
      <c r="O22" s="581"/>
      <c r="P22" s="581"/>
      <c r="Q22" s="581"/>
    </row>
    <row r="23" spans="1:20" x14ac:dyDescent="0.3">
      <c r="B23" s="9"/>
      <c r="C23" s="225"/>
      <c r="E23" s="7"/>
      <c r="F23" s="591"/>
      <c r="G23" s="591"/>
      <c r="H23" s="587">
        <v>2005</v>
      </c>
      <c r="I23" s="591"/>
      <c r="J23" s="564"/>
      <c r="K23" s="217"/>
      <c r="L23" s="217"/>
      <c r="M23" s="217"/>
      <c r="N23" s="217"/>
      <c r="O23" s="581"/>
      <c r="P23" s="581"/>
      <c r="Q23" s="581"/>
    </row>
    <row r="24" spans="1:20" x14ac:dyDescent="0.3">
      <c r="A24" s="582" t="s">
        <v>8</v>
      </c>
      <c r="B24" s="1322"/>
      <c r="C24" s="225"/>
      <c r="D24" s="72" t="s">
        <v>752</v>
      </c>
      <c r="E24" s="530"/>
      <c r="F24" s="581"/>
      <c r="G24" s="581"/>
      <c r="H24" s="587">
        <v>2004</v>
      </c>
      <c r="I24" s="581"/>
      <c r="J24" s="581"/>
      <c r="K24" s="217"/>
      <c r="L24" s="217"/>
      <c r="M24" s="217"/>
      <c r="N24" s="217"/>
      <c r="O24" s="593"/>
      <c r="P24" s="581"/>
      <c r="Q24" s="581"/>
    </row>
    <row r="25" spans="1:20" x14ac:dyDescent="0.3">
      <c r="A25" s="224" t="s">
        <v>767</v>
      </c>
      <c r="B25" s="1322"/>
      <c r="C25" s="225"/>
      <c r="D25" s="72"/>
      <c r="E25" s="530"/>
      <c r="F25" s="581"/>
      <c r="G25" s="581"/>
      <c r="H25" s="587">
        <v>2003</v>
      </c>
      <c r="I25" s="581"/>
      <c r="J25" s="581"/>
      <c r="K25" s="217"/>
      <c r="L25" s="217"/>
      <c r="M25" s="217"/>
      <c r="N25" s="217"/>
      <c r="O25" s="593"/>
      <c r="P25" s="581"/>
      <c r="Q25" s="581"/>
    </row>
    <row r="26" spans="1:20" x14ac:dyDescent="0.3">
      <c r="A26" s="224" t="s">
        <v>759</v>
      </c>
      <c r="B26" s="382"/>
      <c r="C26" s="224"/>
      <c r="D26" s="72"/>
      <c r="E26" s="530"/>
      <c r="F26" s="591"/>
      <c r="G26" s="591"/>
      <c r="H26" s="587">
        <v>2002</v>
      </c>
      <c r="I26" s="591"/>
      <c r="J26" s="591"/>
      <c r="K26" s="217"/>
      <c r="L26" s="217"/>
      <c r="M26" s="217"/>
      <c r="N26" s="217"/>
      <c r="O26" s="581"/>
      <c r="P26" s="581"/>
      <c r="Q26" s="581"/>
    </row>
    <row r="27" spans="1:20" x14ac:dyDescent="0.3">
      <c r="A27" s="224" t="s">
        <v>761</v>
      </c>
      <c r="B27" s="381">
        <v>2021</v>
      </c>
      <c r="E27" s="530"/>
      <c r="H27" s="587">
        <v>2001</v>
      </c>
    </row>
    <row r="28" spans="1:20" x14ac:dyDescent="0.3">
      <c r="A28" s="72"/>
      <c r="B28" s="9"/>
      <c r="C28" s="586"/>
      <c r="D28" s="72"/>
      <c r="E28" s="531"/>
      <c r="F28" s="591"/>
      <c r="G28" s="591"/>
      <c r="H28" s="587">
        <v>2000</v>
      </c>
      <c r="I28" s="591"/>
      <c r="J28" s="591"/>
      <c r="K28" s="217"/>
      <c r="L28" s="217"/>
      <c r="M28" s="217"/>
      <c r="N28" s="217"/>
      <c r="O28" s="581"/>
      <c r="P28" s="581"/>
      <c r="Q28" s="581"/>
    </row>
    <row r="29" spans="1:20" x14ac:dyDescent="0.3">
      <c r="A29" s="72" t="s">
        <v>388</v>
      </c>
      <c r="B29" s="381" t="s">
        <v>420</v>
      </c>
      <c r="C29" s="225"/>
      <c r="D29" s="72" t="s">
        <v>389</v>
      </c>
      <c r="E29" s="381" t="s">
        <v>421</v>
      </c>
      <c r="F29" s="591"/>
      <c r="G29" s="591"/>
      <c r="H29" s="587">
        <v>1999</v>
      </c>
      <c r="I29" s="591"/>
      <c r="J29" s="591"/>
      <c r="K29" s="217"/>
      <c r="L29" s="217"/>
      <c r="M29" s="217"/>
      <c r="N29" s="217"/>
      <c r="O29" s="581"/>
      <c r="P29" s="581"/>
      <c r="Q29" s="581"/>
    </row>
    <row r="30" spans="1:20" x14ac:dyDescent="0.3">
      <c r="A30" s="224" t="s">
        <v>12</v>
      </c>
      <c r="B30" s="382"/>
      <c r="C30" s="225"/>
      <c r="D30" s="224" t="s">
        <v>12</v>
      </c>
      <c r="E30" s="530"/>
      <c r="F30" s="591"/>
      <c r="G30" s="591"/>
      <c r="H30" s="587">
        <v>1998</v>
      </c>
      <c r="I30" s="591"/>
      <c r="J30" s="591"/>
      <c r="K30" s="217"/>
      <c r="L30" s="217"/>
      <c r="M30" s="217"/>
      <c r="N30" s="217"/>
      <c r="O30" s="581"/>
      <c r="P30" s="581"/>
      <c r="Q30" s="581"/>
    </row>
    <row r="31" spans="1:20" ht="14.4" customHeight="1" x14ac:dyDescent="0.3">
      <c r="A31" s="224" t="s">
        <v>759</v>
      </c>
      <c r="B31" s="382"/>
      <c r="C31" s="72"/>
      <c r="D31" s="224" t="s">
        <v>759</v>
      </c>
      <c r="E31" s="530"/>
      <c r="F31" s="591"/>
      <c r="J31" s="591"/>
      <c r="K31" s="217"/>
      <c r="L31" s="217"/>
      <c r="M31" s="217"/>
      <c r="N31" s="217"/>
      <c r="O31" s="581"/>
      <c r="P31" s="581"/>
      <c r="Q31" s="581"/>
      <c r="R31" s="581"/>
      <c r="S31" s="581"/>
      <c r="T31" s="581"/>
    </row>
    <row r="32" spans="1:20" ht="14.4" customHeight="1" x14ac:dyDescent="0.3">
      <c r="A32" s="224" t="s">
        <v>761</v>
      </c>
      <c r="B32" s="381">
        <v>2013</v>
      </c>
      <c r="C32" s="72"/>
      <c r="D32" s="224" t="s">
        <v>761</v>
      </c>
      <c r="E32" s="381">
        <v>2013</v>
      </c>
      <c r="F32" s="581"/>
      <c r="G32" s="1467" t="s">
        <v>390</v>
      </c>
      <c r="H32" s="1467"/>
      <c r="I32" s="1467"/>
      <c r="J32" s="1467"/>
      <c r="K32" s="1467"/>
      <c r="L32" s="1321"/>
      <c r="M32" s="217"/>
      <c r="N32" s="217"/>
      <c r="O32" s="581"/>
      <c r="P32" s="581"/>
      <c r="Q32" s="581"/>
      <c r="R32" s="581"/>
      <c r="S32" s="581"/>
      <c r="T32" s="581"/>
    </row>
    <row r="33" spans="1:24" ht="17.399999999999999" customHeight="1" x14ac:dyDescent="0.3">
      <c r="A33" s="224"/>
      <c r="B33" s="32"/>
      <c r="C33" s="72"/>
      <c r="E33" s="105"/>
      <c r="F33" s="595"/>
      <c r="G33" s="1467"/>
      <c r="H33" s="1467"/>
      <c r="I33" s="1467"/>
      <c r="J33" s="1467"/>
      <c r="K33" s="1467"/>
      <c r="L33" s="1321"/>
      <c r="M33" s="217"/>
      <c r="N33" s="217"/>
      <c r="O33" s="581"/>
      <c r="P33" s="581"/>
      <c r="Q33" s="581"/>
      <c r="R33" s="581"/>
      <c r="S33" s="581"/>
      <c r="T33" s="581"/>
    </row>
    <row r="34" spans="1:24" ht="14.4" customHeight="1" x14ac:dyDescent="0.3">
      <c r="A34" s="596" t="s">
        <v>10</v>
      </c>
      <c r="B34" s="383"/>
      <c r="C34" s="596"/>
      <c r="D34" s="597"/>
      <c r="E34" s="386"/>
      <c r="F34" s="595"/>
      <c r="G34" s="1467"/>
      <c r="H34" s="1467"/>
      <c r="I34" s="1467"/>
      <c r="J34" s="1467"/>
      <c r="K34" s="1467"/>
      <c r="L34" s="217"/>
      <c r="M34" s="217"/>
      <c r="N34" s="217"/>
      <c r="O34" s="598"/>
      <c r="P34" s="598"/>
      <c r="Q34" s="598"/>
      <c r="R34" s="598"/>
      <c r="S34" s="598"/>
      <c r="T34" s="598"/>
      <c r="U34" s="1463"/>
      <c r="V34" s="1463"/>
      <c r="W34" s="1463"/>
      <c r="X34" s="1463"/>
    </row>
    <row r="35" spans="1:24" ht="14.4" customHeight="1" x14ac:dyDescent="0.3">
      <c r="A35" s="52" t="s">
        <v>768</v>
      </c>
      <c r="B35" s="530" t="s">
        <v>772</v>
      </c>
      <c r="C35" s="225"/>
      <c r="D35" s="52" t="s">
        <v>768</v>
      </c>
      <c r="E35" s="502" t="str">
        <f>IF(B35="","",B35)</f>
        <v>bureau Dr Xxx (console #3)</v>
      </c>
      <c r="F35" s="595"/>
      <c r="G35" s="1467"/>
      <c r="H35" s="1467"/>
      <c r="I35" s="1467"/>
      <c r="J35" s="1467"/>
      <c r="K35" s="1467"/>
      <c r="L35" s="217"/>
      <c r="M35" s="217"/>
      <c r="N35" s="217"/>
      <c r="O35" s="598"/>
      <c r="P35" s="598"/>
      <c r="Q35" s="598"/>
      <c r="R35" s="598"/>
      <c r="S35" s="598"/>
      <c r="T35" s="598"/>
      <c r="U35" s="595"/>
      <c r="V35" s="595"/>
      <c r="W35" s="595"/>
      <c r="X35" s="595"/>
    </row>
    <row r="36" spans="1:24" x14ac:dyDescent="0.3">
      <c r="A36" s="52" t="s">
        <v>775</v>
      </c>
      <c r="B36" s="530"/>
      <c r="C36" s="225"/>
      <c r="D36" s="52" t="s">
        <v>776</v>
      </c>
      <c r="E36" s="530"/>
      <c r="G36" s="1075"/>
      <c r="H36" s="1075"/>
      <c r="I36" s="1075"/>
      <c r="U36" s="1466"/>
      <c r="V36" s="1466"/>
      <c r="W36" s="1466"/>
      <c r="X36" s="1466"/>
    </row>
    <row r="37" spans="1:24" x14ac:dyDescent="0.3">
      <c r="A37" s="52" t="s">
        <v>12</v>
      </c>
      <c r="B37" s="387"/>
      <c r="C37" s="225"/>
      <c r="D37" s="52" t="s">
        <v>12</v>
      </c>
      <c r="E37" s="387"/>
      <c r="G37" s="1075"/>
      <c r="H37" s="1075"/>
      <c r="I37" s="1075"/>
      <c r="U37" s="564"/>
      <c r="V37" s="1461"/>
      <c r="W37" s="1461"/>
      <c r="X37" s="581"/>
    </row>
    <row r="38" spans="1:24" x14ac:dyDescent="0.3">
      <c r="A38" s="224" t="s">
        <v>759</v>
      </c>
      <c r="B38" s="387">
        <v>12345</v>
      </c>
      <c r="C38" s="224"/>
      <c r="D38" s="224" t="s">
        <v>759</v>
      </c>
      <c r="E38" s="387">
        <v>567789</v>
      </c>
      <c r="U38" s="564"/>
      <c r="V38" s="1462"/>
      <c r="W38" s="1462"/>
      <c r="X38" s="581"/>
    </row>
    <row r="39" spans="1:24" x14ac:dyDescent="0.3">
      <c r="A39" s="224" t="s">
        <v>13</v>
      </c>
      <c r="B39" s="387" t="s">
        <v>773</v>
      </c>
      <c r="C39" s="225"/>
      <c r="D39" s="224" t="s">
        <v>13</v>
      </c>
      <c r="E39" s="387" t="s">
        <v>773</v>
      </c>
      <c r="U39" s="1463"/>
      <c r="V39" s="1463"/>
      <c r="W39" s="1463"/>
      <c r="X39" s="1463"/>
    </row>
    <row r="40" spans="1:24" x14ac:dyDescent="0.3">
      <c r="A40" s="224" t="s">
        <v>761</v>
      </c>
      <c r="B40" s="381">
        <v>2013</v>
      </c>
      <c r="C40" s="225"/>
      <c r="D40" s="224" t="s">
        <v>761</v>
      </c>
      <c r="E40" s="381">
        <v>2013</v>
      </c>
      <c r="U40" s="593"/>
      <c r="V40" s="593"/>
      <c r="W40" s="593"/>
      <c r="X40" s="593"/>
    </row>
    <row r="41" spans="1:24" x14ac:dyDescent="0.3">
      <c r="A41" s="224"/>
      <c r="B41" s="531"/>
      <c r="C41" s="224"/>
      <c r="D41" s="224"/>
      <c r="E41" s="106"/>
      <c r="U41" s="564"/>
      <c r="V41" s="593"/>
      <c r="W41" s="593"/>
      <c r="X41" s="581"/>
    </row>
    <row r="42" spans="1:24" x14ac:dyDescent="0.3">
      <c r="A42" s="52" t="s">
        <v>768</v>
      </c>
      <c r="B42" s="530" t="s">
        <v>589</v>
      </c>
      <c r="C42" s="225"/>
      <c r="D42" s="52" t="s">
        <v>768</v>
      </c>
      <c r="E42" s="502" t="str">
        <f>IF(B42="","",B42)</f>
        <v>salle 5043</v>
      </c>
      <c r="U42" s="564"/>
      <c r="V42" s="593"/>
      <c r="W42" s="593"/>
      <c r="X42" s="581"/>
    </row>
    <row r="43" spans="1:24" x14ac:dyDescent="0.3">
      <c r="A43" s="52" t="s">
        <v>775</v>
      </c>
      <c r="B43" s="530"/>
      <c r="C43" s="225"/>
      <c r="D43" s="52" t="s">
        <v>776</v>
      </c>
      <c r="E43" s="530"/>
      <c r="U43" s="564"/>
      <c r="V43" s="593"/>
      <c r="W43" s="593"/>
      <c r="X43" s="581"/>
    </row>
    <row r="44" spans="1:24" x14ac:dyDescent="0.3">
      <c r="A44" s="52" t="s">
        <v>12</v>
      </c>
      <c r="B44" s="387"/>
      <c r="C44" s="224"/>
      <c r="D44" s="52" t="s">
        <v>12</v>
      </c>
      <c r="E44" s="387"/>
      <c r="U44" s="581"/>
      <c r="V44" s="593"/>
      <c r="W44" s="593"/>
      <c r="X44" s="581"/>
    </row>
    <row r="45" spans="1:24" x14ac:dyDescent="0.3">
      <c r="A45" s="224" t="s">
        <v>759</v>
      </c>
      <c r="B45" s="387">
        <v>87654</v>
      </c>
      <c r="C45" s="225"/>
      <c r="D45" s="224" t="s">
        <v>759</v>
      </c>
      <c r="E45" s="387">
        <v>987</v>
      </c>
    </row>
    <row r="46" spans="1:24" x14ac:dyDescent="0.3">
      <c r="A46" s="224" t="s">
        <v>13</v>
      </c>
      <c r="B46" s="387" t="s">
        <v>773</v>
      </c>
      <c r="C46" s="225"/>
      <c r="D46" s="224" t="s">
        <v>13</v>
      </c>
      <c r="E46" s="387" t="s">
        <v>773</v>
      </c>
    </row>
    <row r="47" spans="1:24" x14ac:dyDescent="0.3">
      <c r="A47" s="224" t="s">
        <v>761</v>
      </c>
      <c r="B47" s="381">
        <v>2019</v>
      </c>
      <c r="C47" s="225"/>
      <c r="D47" s="224" t="s">
        <v>761</v>
      </c>
      <c r="E47" s="381">
        <v>2019</v>
      </c>
    </row>
    <row r="48" spans="1:24" x14ac:dyDescent="0.3">
      <c r="A48" s="224"/>
      <c r="B48" s="531"/>
      <c r="C48" s="225"/>
      <c r="D48" s="224"/>
      <c r="E48" s="531"/>
    </row>
    <row r="49" spans="1:24" x14ac:dyDescent="0.3">
      <c r="A49" s="52" t="s">
        <v>768</v>
      </c>
      <c r="B49" s="530" t="s">
        <v>588</v>
      </c>
      <c r="C49" s="225"/>
      <c r="D49" s="52" t="s">
        <v>768</v>
      </c>
      <c r="E49" s="502" t="str">
        <f>IF(B49="","",B49)</f>
        <v>bureau Dr Ladouceur</v>
      </c>
    </row>
    <row r="50" spans="1:24" x14ac:dyDescent="0.3">
      <c r="A50" s="52" t="s">
        <v>775</v>
      </c>
      <c r="B50" s="530"/>
      <c r="C50" s="225"/>
      <c r="D50" s="52" t="s">
        <v>776</v>
      </c>
      <c r="E50" s="530"/>
    </row>
    <row r="51" spans="1:24" x14ac:dyDescent="0.3">
      <c r="A51" s="52" t="s">
        <v>12</v>
      </c>
      <c r="B51" s="387"/>
      <c r="C51" s="224"/>
      <c r="D51" s="52" t="s">
        <v>12</v>
      </c>
      <c r="E51" s="387"/>
      <c r="U51" s="581"/>
      <c r="V51" s="593"/>
      <c r="W51" s="593"/>
      <c r="X51" s="581"/>
    </row>
    <row r="52" spans="1:24" x14ac:dyDescent="0.3">
      <c r="A52" s="224" t="s">
        <v>759</v>
      </c>
      <c r="B52" s="387">
        <v>7654</v>
      </c>
      <c r="C52" s="225"/>
      <c r="D52" s="224" t="s">
        <v>9</v>
      </c>
      <c r="E52" s="387">
        <v>1234</v>
      </c>
    </row>
    <row r="53" spans="1:24" x14ac:dyDescent="0.3">
      <c r="A53" s="224" t="s">
        <v>13</v>
      </c>
      <c r="B53" s="387" t="s">
        <v>773</v>
      </c>
      <c r="C53" s="225"/>
      <c r="D53" s="224" t="s">
        <v>13</v>
      </c>
      <c r="E53" s="387" t="s">
        <v>773</v>
      </c>
    </row>
    <row r="54" spans="1:24" x14ac:dyDescent="0.3">
      <c r="A54" s="224" t="s">
        <v>761</v>
      </c>
      <c r="B54" s="381">
        <v>2021</v>
      </c>
      <c r="C54" s="225"/>
      <c r="D54" s="224" t="s">
        <v>761</v>
      </c>
      <c r="E54" s="381">
        <v>2021</v>
      </c>
    </row>
    <row r="55" spans="1:24" x14ac:dyDescent="0.3">
      <c r="A55" s="224"/>
      <c r="B55" s="32"/>
      <c r="C55" s="225"/>
      <c r="D55" s="224"/>
      <c r="E55" s="531"/>
    </row>
    <row r="56" spans="1:24" x14ac:dyDescent="0.3">
      <c r="A56" s="596" t="s">
        <v>14</v>
      </c>
      <c r="B56" s="384"/>
      <c r="C56" s="597"/>
      <c r="D56" s="151"/>
      <c r="E56" s="386"/>
    </row>
    <row r="57" spans="1:24" x14ac:dyDescent="0.3">
      <c r="A57" s="52" t="s">
        <v>769</v>
      </c>
      <c r="B57" s="530" t="s">
        <v>473</v>
      </c>
      <c r="C57" s="62"/>
      <c r="D57" s="52" t="s">
        <v>769</v>
      </c>
      <c r="E57" s="530" t="s">
        <v>474</v>
      </c>
    </row>
    <row r="58" spans="1:24" x14ac:dyDescent="0.3">
      <c r="A58" s="52" t="s">
        <v>11</v>
      </c>
      <c r="B58" s="530"/>
      <c r="C58" s="62"/>
      <c r="D58" s="52" t="s">
        <v>11</v>
      </c>
      <c r="E58" s="530"/>
      <c r="F58" s="50"/>
    </row>
    <row r="59" spans="1:24" x14ac:dyDescent="0.3">
      <c r="A59" s="52" t="s">
        <v>12</v>
      </c>
      <c r="B59" s="387"/>
      <c r="C59" s="62"/>
      <c r="D59" s="52" t="s">
        <v>12</v>
      </c>
      <c r="E59" s="387"/>
      <c r="F59" s="50"/>
    </row>
    <row r="60" spans="1:24" x14ac:dyDescent="0.3">
      <c r="A60" s="224" t="s">
        <v>759</v>
      </c>
      <c r="B60" s="387">
        <v>8654</v>
      </c>
      <c r="C60" s="62"/>
      <c r="D60" s="224" t="s">
        <v>759</v>
      </c>
      <c r="E60" s="387">
        <v>241462</v>
      </c>
      <c r="F60" s="50"/>
      <c r="S60" s="581"/>
    </row>
    <row r="61" spans="1:24" x14ac:dyDescent="0.3">
      <c r="A61" s="224" t="s">
        <v>13</v>
      </c>
      <c r="B61" s="387" t="s">
        <v>774</v>
      </c>
      <c r="C61" s="62"/>
      <c r="D61" s="224" t="s">
        <v>13</v>
      </c>
      <c r="E61" s="387" t="s">
        <v>774</v>
      </c>
      <c r="F61" s="50"/>
      <c r="S61" s="581"/>
    </row>
    <row r="62" spans="1:24" x14ac:dyDescent="0.3">
      <c r="A62" s="224" t="s">
        <v>761</v>
      </c>
      <c r="B62" s="381">
        <v>2017</v>
      </c>
      <c r="C62" s="62"/>
      <c r="D62" s="224" t="s">
        <v>761</v>
      </c>
      <c r="E62" s="381"/>
      <c r="F62" s="50"/>
      <c r="S62" s="581"/>
    </row>
    <row r="63" spans="1:24" x14ac:dyDescent="0.3">
      <c r="A63" s="224"/>
      <c r="B63" s="224"/>
      <c r="C63" s="224"/>
      <c r="D63" s="224"/>
      <c r="E63" s="224"/>
      <c r="U63" s="581"/>
    </row>
    <row r="64" spans="1:24" x14ac:dyDescent="0.3">
      <c r="A64" s="224"/>
      <c r="B64" s="224"/>
      <c r="C64" s="224"/>
      <c r="D64" s="224"/>
      <c r="E64" s="224"/>
      <c r="U64" s="598"/>
      <c r="V64" s="598"/>
      <c r="W64" s="598"/>
      <c r="X64" s="598"/>
    </row>
    <row r="65" spans="1:6" x14ac:dyDescent="0.3">
      <c r="A65" s="224"/>
      <c r="B65" s="224"/>
      <c r="C65" s="224"/>
      <c r="D65" s="224"/>
      <c r="E65" s="224"/>
      <c r="F65" s="224"/>
    </row>
    <row r="66" spans="1:6" x14ac:dyDescent="0.3">
      <c r="A66" s="224"/>
      <c r="B66" s="224"/>
      <c r="C66" s="224"/>
      <c r="D66" s="224"/>
      <c r="E66" s="224"/>
      <c r="F66" s="224"/>
    </row>
    <row r="67" spans="1:6" x14ac:dyDescent="0.3">
      <c r="A67" s="224"/>
      <c r="B67" s="224"/>
      <c r="C67" s="224"/>
      <c r="D67" s="224"/>
      <c r="E67" s="224"/>
      <c r="F67" s="224"/>
    </row>
    <row r="68" spans="1:6" x14ac:dyDescent="0.3">
      <c r="F68" s="224"/>
    </row>
    <row r="69" spans="1:6" x14ac:dyDescent="0.3">
      <c r="F69" s="224"/>
    </row>
  </sheetData>
  <sheetProtection algorithmName="SHA-512" hashValue="aqAKUdps1tlbEubOWjwV6rAb0z7UFybYP5J24UjUihm2AIsdubRUyCJ7nOpJ9QFoRdC52G7GiqiezAyn7zlBGw==" saltValue="q3jasv26ANebwHdSgxYYbQ==" spinCount="100000" sheet="1" objects="1" scenarios="1"/>
  <mergeCells count="15">
    <mergeCell ref="P10:Q10"/>
    <mergeCell ref="R10:S10"/>
    <mergeCell ref="G32:K35"/>
    <mergeCell ref="P7:Q7"/>
    <mergeCell ref="R7:S7"/>
    <mergeCell ref="P8:Q8"/>
    <mergeCell ref="R8:S8"/>
    <mergeCell ref="O9:T9"/>
    <mergeCell ref="V37:W37"/>
    <mergeCell ref="V38:W38"/>
    <mergeCell ref="U39:X39"/>
    <mergeCell ref="P11:Q11"/>
    <mergeCell ref="R11:S11"/>
    <mergeCell ref="U34:X34"/>
    <mergeCell ref="U36:X36"/>
  </mergeCells>
  <dataValidations count="4">
    <dataValidation type="list" allowBlank="1" showInputMessage="1" showErrorMessage="1" sqref="E29 B29" xr:uid="{00000000-0002-0000-0300-000002000000}">
      <formula1>$K$7:$K$10</formula1>
    </dataValidation>
    <dataValidation type="list" allowBlank="1" showInputMessage="1" showErrorMessage="1" sqref="B7" xr:uid="{00000000-0002-0000-0300-000003000000}">
      <formula1>$J$7:$J$13</formula1>
    </dataValidation>
    <dataValidation type="list" allowBlank="1" showInputMessage="1" showErrorMessage="1" sqref="B6" xr:uid="{00000000-0002-0000-0300-000001000000}">
      <formula1>$G$4:$G$5</formula1>
    </dataValidation>
    <dataValidation type="list" allowBlank="1" showInputMessage="1" showErrorMessage="1" sqref="B10 B15 B27 B32 E32 B40 E40 B47 E47 B54 E54 B62 E62" xr:uid="{97AE57E5-E455-4E85-B807-6463D97E92BE}">
      <formula1>$H$4:$H$31</formula1>
    </dataValidation>
  </dataValidations>
  <printOptions horizontalCentered="1"/>
  <pageMargins left="0.70866141732283472" right="0.70866141732283472" top="0.74803149606299213" bottom="0.74803149606299213" header="0.31496062992125984" footer="0.31496062992125984"/>
  <pageSetup paperSize="120" scale="71" orientation="portrait" r:id="rId1"/>
  <headerFooter>
    <oddFooter>&amp;CPage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3">
    <tabColor theme="3" tint="-0.249977111117893"/>
    <pageSetUpPr fitToPage="1"/>
  </sheetPr>
  <dimension ref="A1:N68"/>
  <sheetViews>
    <sheetView topLeftCell="A21" zoomScaleNormal="100" workbookViewId="0">
      <selection activeCell="B28" sqref="B28:F28"/>
    </sheetView>
  </sheetViews>
  <sheetFormatPr baseColWidth="10" defaultColWidth="10.6640625" defaultRowHeight="14.4" x14ac:dyDescent="0.3"/>
  <cols>
    <col min="1" max="1" width="12.33203125" style="50" customWidth="1"/>
    <col min="2" max="2" width="14.33203125" style="50" customWidth="1"/>
    <col min="3" max="3" width="14.5546875" style="50" customWidth="1"/>
    <col min="4" max="6" width="14.33203125" style="50" customWidth="1"/>
    <col min="7" max="7" width="9.5546875" style="163" customWidth="1"/>
    <col min="8" max="8" width="9.5546875" style="50" customWidth="1"/>
    <col min="9" max="9" width="6.33203125" style="163" customWidth="1"/>
    <col min="10" max="10" width="11.6640625" style="50" customWidth="1"/>
    <col min="11" max="11" width="23" style="50" customWidth="1"/>
    <col min="12" max="12" width="17.109375" style="50" customWidth="1"/>
    <col min="13" max="13" width="11.44140625" style="50" customWidth="1"/>
    <col min="14" max="14" width="37.33203125" style="50" customWidth="1"/>
    <col min="15" max="16384" width="10.6640625" style="50"/>
  </cols>
  <sheetData>
    <row r="1" spans="1:10" x14ac:dyDescent="0.3">
      <c r="A1" s="53" t="s">
        <v>753</v>
      </c>
      <c r="B1" s="54" t="str">
        <f>+Info!C10</f>
        <v>Clinique Ste-Mammo</v>
      </c>
      <c r="C1" s="55"/>
      <c r="D1" s="55"/>
      <c r="E1" s="55"/>
      <c r="F1" s="56" t="s">
        <v>755</v>
      </c>
      <c r="G1" s="388"/>
      <c r="H1" s="57" t="str">
        <f>+Info!C37</f>
        <v>20-01-2020</v>
      </c>
    </row>
    <row r="2" spans="1:10" x14ac:dyDescent="0.3">
      <c r="A2" s="58" t="s">
        <v>754</v>
      </c>
      <c r="B2" s="59" t="str">
        <f>+Info!C21</f>
        <v>Salle 2, Hirad IV</v>
      </c>
      <c r="C2" s="51"/>
      <c r="D2" s="51"/>
      <c r="E2" s="51"/>
      <c r="F2" s="60" t="s">
        <v>756</v>
      </c>
      <c r="G2" s="389"/>
      <c r="H2" s="61" t="str">
        <f>+Info!C35</f>
        <v>Alexandre Toussaint</v>
      </c>
    </row>
    <row r="3" spans="1:10" x14ac:dyDescent="0.3">
      <c r="A3" s="62"/>
      <c r="B3" s="62"/>
      <c r="C3" s="62"/>
      <c r="D3" s="62"/>
      <c r="E3" s="62"/>
      <c r="F3" s="62"/>
      <c r="G3" s="111"/>
      <c r="H3" s="62"/>
    </row>
    <row r="4" spans="1:10" x14ac:dyDescent="0.3">
      <c r="A4" s="390" t="s">
        <v>777</v>
      </c>
      <c r="B4" s="62"/>
      <c r="C4" s="62"/>
      <c r="D4" s="62"/>
      <c r="E4" s="62"/>
      <c r="F4" s="62"/>
      <c r="G4" s="1495" t="s">
        <v>15</v>
      </c>
      <c r="H4" s="1495"/>
    </row>
    <row r="5" spans="1:10" ht="14.1" customHeight="1" x14ac:dyDescent="0.3">
      <c r="A5" s="62"/>
      <c r="B5" s="62"/>
      <c r="C5" s="62"/>
      <c r="D5" s="62"/>
      <c r="E5" s="62"/>
      <c r="F5" s="62"/>
      <c r="G5" s="532" t="s">
        <v>16</v>
      </c>
      <c r="H5" s="532" t="s">
        <v>17</v>
      </c>
    </row>
    <row r="6" spans="1:10" ht="14.1" customHeight="1" x14ac:dyDescent="0.3">
      <c r="A6" s="391"/>
      <c r="B6" s="1496" t="s">
        <v>18</v>
      </c>
      <c r="C6" s="1497"/>
      <c r="D6" s="1497"/>
      <c r="E6" s="1497"/>
      <c r="F6" s="1498"/>
      <c r="G6" s="123" t="s">
        <v>305</v>
      </c>
      <c r="H6" s="123"/>
      <c r="I6" s="128"/>
    </row>
    <row r="7" spans="1:10" ht="14.1" customHeight="1" x14ac:dyDescent="0.3">
      <c r="A7" s="392">
        <v>1</v>
      </c>
      <c r="B7" s="1481" t="s">
        <v>623</v>
      </c>
      <c r="C7" s="1482"/>
      <c r="D7" s="1482"/>
      <c r="E7" s="1482"/>
      <c r="F7" s="1483"/>
      <c r="G7" s="4" t="s">
        <v>150</v>
      </c>
      <c r="H7" s="4"/>
      <c r="I7" s="128"/>
    </row>
    <row r="8" spans="1:10" ht="14.1" customHeight="1" x14ac:dyDescent="0.3">
      <c r="A8" s="393">
        <v>2</v>
      </c>
      <c r="B8" s="1481" t="s">
        <v>19</v>
      </c>
      <c r="C8" s="1482"/>
      <c r="D8" s="1482"/>
      <c r="E8" s="1482"/>
      <c r="F8" s="1483"/>
      <c r="G8" s="4"/>
      <c r="H8" s="4" t="s">
        <v>150</v>
      </c>
      <c r="I8" s="128"/>
    </row>
    <row r="9" spans="1:10" ht="14.1" customHeight="1" x14ac:dyDescent="0.3">
      <c r="A9" s="393">
        <v>3</v>
      </c>
      <c r="B9" s="1481" t="s">
        <v>20</v>
      </c>
      <c r="C9" s="1482"/>
      <c r="D9" s="1482"/>
      <c r="E9" s="1482"/>
      <c r="F9" s="1483"/>
      <c r="G9" s="4" t="s">
        <v>150</v>
      </c>
      <c r="H9" s="4"/>
      <c r="I9" s="128"/>
    </row>
    <row r="10" spans="1:10" ht="14.1" customHeight="1" x14ac:dyDescent="0.3">
      <c r="A10" s="393">
        <v>4</v>
      </c>
      <c r="B10" s="1487" t="s">
        <v>628</v>
      </c>
      <c r="C10" s="1488"/>
      <c r="D10" s="1488"/>
      <c r="E10" s="1488"/>
      <c r="F10" s="1489"/>
      <c r="G10" s="4"/>
      <c r="H10" s="4" t="s">
        <v>150</v>
      </c>
      <c r="I10" s="128"/>
    </row>
    <row r="11" spans="1:10" ht="28.2" customHeight="1" x14ac:dyDescent="0.3">
      <c r="A11" s="393">
        <v>5</v>
      </c>
      <c r="B11" s="1481" t="s">
        <v>624</v>
      </c>
      <c r="C11" s="1482"/>
      <c r="D11" s="1482"/>
      <c r="E11" s="1482"/>
      <c r="F11" s="1483"/>
      <c r="G11" s="4"/>
      <c r="H11" s="4"/>
      <c r="I11" s="128"/>
    </row>
    <row r="12" spans="1:10" ht="14.1" customHeight="1" x14ac:dyDescent="0.3">
      <c r="A12" s="393">
        <v>6</v>
      </c>
      <c r="B12" s="1499" t="s">
        <v>21</v>
      </c>
      <c r="C12" s="1500"/>
      <c r="D12" s="1500"/>
      <c r="E12" s="1500"/>
      <c r="F12" s="1501"/>
      <c r="G12" s="4"/>
      <c r="H12" s="4"/>
      <c r="I12" s="128"/>
    </row>
    <row r="13" spans="1:10" ht="14.1" customHeight="1" x14ac:dyDescent="0.3">
      <c r="A13" s="393"/>
      <c r="B13" s="1484" t="s">
        <v>22</v>
      </c>
      <c r="C13" s="1485"/>
      <c r="D13" s="1485"/>
      <c r="E13" s="1485"/>
      <c r="G13" s="600" t="str">
        <f>IF(Éqpmt!B6="DR","n.a.","")</f>
        <v>n.a.</v>
      </c>
      <c r="H13" s="48"/>
      <c r="I13" s="128"/>
      <c r="J13" s="1164" t="s">
        <v>1060</v>
      </c>
    </row>
    <row r="14" spans="1:10" ht="14.1" customHeight="1" x14ac:dyDescent="0.3">
      <c r="A14" s="393">
        <v>7</v>
      </c>
      <c r="B14" s="1481" t="s">
        <v>625</v>
      </c>
      <c r="C14" s="1482"/>
      <c r="D14" s="1482"/>
      <c r="E14" s="1482"/>
      <c r="F14" s="1483"/>
      <c r="G14" s="4"/>
      <c r="H14" s="4"/>
      <c r="I14" s="128"/>
    </row>
    <row r="15" spans="1:10" ht="14.1" customHeight="1" x14ac:dyDescent="0.3">
      <c r="A15" s="393">
        <v>8</v>
      </c>
      <c r="B15" s="1481" t="s">
        <v>23</v>
      </c>
      <c r="C15" s="1482"/>
      <c r="D15" s="1482"/>
      <c r="E15" s="1482"/>
      <c r="F15" s="1483"/>
      <c r="G15" s="4"/>
      <c r="H15" s="4"/>
      <c r="I15" s="128"/>
    </row>
    <row r="16" spans="1:10" ht="28.5" customHeight="1" x14ac:dyDescent="0.3">
      <c r="A16" s="393">
        <v>9</v>
      </c>
      <c r="B16" s="1481" t="s">
        <v>24</v>
      </c>
      <c r="C16" s="1482"/>
      <c r="D16" s="1482"/>
      <c r="E16" s="1482"/>
      <c r="F16" s="1483"/>
      <c r="G16" s="4"/>
      <c r="H16" s="4"/>
      <c r="I16" s="128"/>
    </row>
    <row r="17" spans="1:10" ht="14.1" customHeight="1" x14ac:dyDescent="0.3">
      <c r="A17" s="393"/>
      <c r="B17" s="1484" t="s">
        <v>25</v>
      </c>
      <c r="C17" s="1485"/>
      <c r="D17" s="1485"/>
      <c r="E17" s="1485"/>
      <c r="F17" s="1486"/>
      <c r="G17" s="48"/>
      <c r="H17" s="48"/>
      <c r="I17" s="128"/>
    </row>
    <row r="18" spans="1:10" ht="14.1" customHeight="1" x14ac:dyDescent="0.3">
      <c r="A18" s="393">
        <v>10</v>
      </c>
      <c r="B18" s="1481" t="s">
        <v>26</v>
      </c>
      <c r="C18" s="1482"/>
      <c r="D18" s="1482"/>
      <c r="E18" s="1482"/>
      <c r="F18" s="1483"/>
      <c r="G18" s="4"/>
      <c r="H18" s="4"/>
      <c r="I18" s="128"/>
    </row>
    <row r="19" spans="1:10" ht="14.1" customHeight="1" x14ac:dyDescent="0.3">
      <c r="A19" s="393">
        <v>11</v>
      </c>
      <c r="B19" s="1481" t="s">
        <v>626</v>
      </c>
      <c r="C19" s="1482"/>
      <c r="D19" s="1482"/>
      <c r="E19" s="1482"/>
      <c r="F19" s="1483"/>
      <c r="G19" s="4"/>
      <c r="H19" s="4"/>
      <c r="I19" s="128"/>
    </row>
    <row r="20" spans="1:10" ht="28.5" customHeight="1" x14ac:dyDescent="0.3">
      <c r="A20" s="393">
        <v>12</v>
      </c>
      <c r="B20" s="1487" t="s">
        <v>627</v>
      </c>
      <c r="C20" s="1488"/>
      <c r="D20" s="1488"/>
      <c r="E20" s="1488"/>
      <c r="F20" s="1489"/>
      <c r="G20" s="4"/>
      <c r="H20" s="4"/>
      <c r="I20" s="128"/>
    </row>
    <row r="21" spans="1:10" ht="14.1" customHeight="1" x14ac:dyDescent="0.3">
      <c r="A21" s="393">
        <v>13</v>
      </c>
      <c r="B21" s="1487" t="s">
        <v>27</v>
      </c>
      <c r="C21" s="1488"/>
      <c r="D21" s="1488"/>
      <c r="E21" s="1488"/>
      <c r="F21" s="1489"/>
      <c r="G21" s="4" t="s">
        <v>489</v>
      </c>
      <c r="H21" s="4"/>
      <c r="I21" s="128"/>
    </row>
    <row r="22" spans="1:10" ht="14.1" customHeight="1" x14ac:dyDescent="0.3">
      <c r="A22" s="393">
        <v>14</v>
      </c>
      <c r="B22" s="1487" t="s">
        <v>28</v>
      </c>
      <c r="C22" s="1488"/>
      <c r="D22" s="1488"/>
      <c r="E22" s="1488"/>
      <c r="F22" s="1489"/>
      <c r="G22" s="4"/>
      <c r="H22" s="4"/>
      <c r="I22" s="128"/>
    </row>
    <row r="23" spans="1:10" ht="14.1" customHeight="1" x14ac:dyDescent="0.3">
      <c r="A23" s="393"/>
      <c r="B23" s="1484" t="s">
        <v>29</v>
      </c>
      <c r="C23" s="1485"/>
      <c r="D23" s="1485"/>
      <c r="E23" s="1485"/>
      <c r="F23" s="1486"/>
      <c r="G23" s="48"/>
      <c r="H23" s="48"/>
      <c r="I23" s="128"/>
    </row>
    <row r="24" spans="1:10" ht="14.1" customHeight="1" x14ac:dyDescent="0.3">
      <c r="A24" s="393">
        <v>17</v>
      </c>
      <c r="B24" s="1487" t="s">
        <v>726</v>
      </c>
      <c r="C24" s="1488"/>
      <c r="D24" s="1488"/>
      <c r="E24" s="1488"/>
      <c r="F24" s="1489"/>
      <c r="G24" s="4"/>
      <c r="H24" s="4"/>
      <c r="I24" s="128"/>
    </row>
    <row r="25" spans="1:10" ht="14.1" customHeight="1" x14ac:dyDescent="0.3">
      <c r="A25" s="393">
        <v>18</v>
      </c>
      <c r="B25" s="1481" t="s">
        <v>30</v>
      </c>
      <c r="C25" s="1482"/>
      <c r="D25" s="1482"/>
      <c r="E25" s="1482"/>
      <c r="F25" s="1483"/>
      <c r="G25" s="4"/>
      <c r="H25" s="4"/>
      <c r="I25" s="128"/>
    </row>
    <row r="26" spans="1:10" ht="28.5" customHeight="1" x14ac:dyDescent="0.3">
      <c r="A26" s="393">
        <v>19</v>
      </c>
      <c r="B26" s="1481" t="s">
        <v>31</v>
      </c>
      <c r="C26" s="1482"/>
      <c r="D26" s="1482"/>
      <c r="E26" s="1482"/>
      <c r="F26" s="1483"/>
      <c r="G26" s="40"/>
      <c r="H26" s="63"/>
      <c r="I26" s="128"/>
    </row>
    <row r="27" spans="1:10" s="394" customFormat="1" ht="14.1" customHeight="1" x14ac:dyDescent="0.3">
      <c r="A27" s="392">
        <v>20</v>
      </c>
      <c r="B27" s="1487" t="s">
        <v>32</v>
      </c>
      <c r="C27" s="1488"/>
      <c r="D27" s="1488"/>
      <c r="E27" s="1488"/>
      <c r="F27" s="1489"/>
      <c r="G27" s="64"/>
      <c r="H27" s="65"/>
      <c r="I27" s="128"/>
    </row>
    <row r="28" spans="1:10" s="394" customFormat="1" ht="14.1" customHeight="1" x14ac:dyDescent="0.3">
      <c r="A28" s="392">
        <v>21</v>
      </c>
      <c r="B28" s="1481" t="s">
        <v>916</v>
      </c>
      <c r="C28" s="1482"/>
      <c r="D28" s="1482"/>
      <c r="E28" s="1482"/>
      <c r="F28" s="1483"/>
      <c r="G28" s="68"/>
      <c r="H28" s="69"/>
      <c r="I28" s="128"/>
      <c r="J28" s="964" t="s">
        <v>918</v>
      </c>
    </row>
    <row r="29" spans="1:10" s="394" customFormat="1" ht="28.5" customHeight="1" x14ac:dyDescent="0.3">
      <c r="A29" s="392">
        <v>22</v>
      </c>
      <c r="B29" s="1481" t="s">
        <v>33</v>
      </c>
      <c r="C29" s="1482"/>
      <c r="D29" s="1482"/>
      <c r="E29" s="1482"/>
      <c r="F29" s="1483"/>
      <c r="G29" s="64"/>
      <c r="H29" s="65" t="s">
        <v>150</v>
      </c>
      <c r="I29" s="128"/>
    </row>
    <row r="30" spans="1:10" s="394" customFormat="1" ht="14.1" customHeight="1" x14ac:dyDescent="0.3">
      <c r="A30" s="392">
        <v>23</v>
      </c>
      <c r="B30" s="1481" t="s">
        <v>34</v>
      </c>
      <c r="C30" s="1482"/>
      <c r="D30" s="1482"/>
      <c r="E30" s="1482"/>
      <c r="F30" s="1483"/>
      <c r="G30" s="64"/>
      <c r="H30" s="65"/>
      <c r="I30" s="128"/>
    </row>
    <row r="31" spans="1:10" s="394" customFormat="1" ht="14.1" customHeight="1" x14ac:dyDescent="0.3">
      <c r="A31" s="392">
        <v>24</v>
      </c>
      <c r="B31" s="1502" t="s">
        <v>629</v>
      </c>
      <c r="C31" s="1503"/>
      <c r="D31" s="1503"/>
      <c r="E31" s="1503"/>
      <c r="F31" s="1504"/>
      <c r="G31" s="64"/>
      <c r="H31" s="65" t="s">
        <v>150</v>
      </c>
      <c r="I31" s="128"/>
    </row>
    <row r="32" spans="1:10" s="394" customFormat="1" ht="14.1" customHeight="1" x14ac:dyDescent="0.3">
      <c r="A32" s="392">
        <v>25</v>
      </c>
      <c r="B32" s="1481" t="s">
        <v>35</v>
      </c>
      <c r="C32" s="1482"/>
      <c r="D32" s="1482"/>
      <c r="E32" s="1482"/>
      <c r="F32" s="1483"/>
      <c r="G32" s="66"/>
      <c r="H32" s="67"/>
      <c r="I32" s="128"/>
    </row>
    <row r="33" spans="1:14" s="394" customFormat="1" ht="14.1" customHeight="1" x14ac:dyDescent="0.3">
      <c r="A33" s="392">
        <v>26</v>
      </c>
      <c r="B33" s="1481" t="s">
        <v>36</v>
      </c>
      <c r="C33" s="1482"/>
      <c r="D33" s="1482"/>
      <c r="E33" s="1482"/>
      <c r="F33" s="1483"/>
      <c r="G33" s="66" t="s">
        <v>917</v>
      </c>
      <c r="H33" s="67"/>
      <c r="I33" s="128"/>
    </row>
    <row r="34" spans="1:14" s="394" customFormat="1" ht="14.1" customHeight="1" x14ac:dyDescent="0.3">
      <c r="A34" s="392">
        <v>27</v>
      </c>
      <c r="B34" s="1481" t="s">
        <v>37</v>
      </c>
      <c r="C34" s="1482"/>
      <c r="D34" s="1482"/>
      <c r="E34" s="1482"/>
      <c r="F34" s="1483"/>
      <c r="G34" s="66"/>
      <c r="H34" s="67"/>
      <c r="I34" s="128"/>
    </row>
    <row r="35" spans="1:14" s="394" customFormat="1" ht="14.1" customHeight="1" x14ac:dyDescent="0.3">
      <c r="A35" s="395"/>
      <c r="B35" s="1484" t="s">
        <v>38</v>
      </c>
      <c r="C35" s="1485"/>
      <c r="D35" s="1485"/>
      <c r="E35" s="1485"/>
      <c r="F35" s="1486"/>
      <c r="G35" s="68"/>
      <c r="H35" s="69"/>
      <c r="I35" s="128"/>
    </row>
    <row r="36" spans="1:14" s="394" customFormat="1" ht="28.2" customHeight="1" x14ac:dyDescent="0.3">
      <c r="A36" s="395">
        <v>28</v>
      </c>
      <c r="B36" s="1481" t="s">
        <v>725</v>
      </c>
      <c r="C36" s="1482"/>
      <c r="D36" s="1482"/>
      <c r="E36" s="1482"/>
      <c r="F36" s="1483"/>
      <c r="G36" s="66"/>
      <c r="H36" s="67" t="s">
        <v>150</v>
      </c>
      <c r="I36" s="128"/>
    </row>
    <row r="37" spans="1:14" s="394" customFormat="1" ht="28.2" customHeight="1" x14ac:dyDescent="0.3">
      <c r="A37" s="395">
        <v>29</v>
      </c>
      <c r="B37" s="1492" t="s">
        <v>39</v>
      </c>
      <c r="C37" s="1493"/>
      <c r="D37" s="1493"/>
      <c r="E37" s="1493"/>
      <c r="F37" s="1494"/>
      <c r="G37" s="963"/>
      <c r="H37" s="963" t="s">
        <v>305</v>
      </c>
      <c r="I37" s="128"/>
      <c r="J37" s="964" t="s">
        <v>919</v>
      </c>
    </row>
    <row r="38" spans="1:14" ht="14.1" customHeight="1" thickBot="1" x14ac:dyDescent="0.35">
      <c r="A38" s="400"/>
      <c r="B38" s="401"/>
      <c r="C38" s="401"/>
      <c r="D38" s="401"/>
      <c r="E38" s="401"/>
      <c r="F38" s="401"/>
      <c r="G38" s="402"/>
      <c r="H38" s="402"/>
      <c r="I38" s="109"/>
      <c r="J38" s="396" t="s">
        <v>1059</v>
      </c>
      <c r="K38" s="397"/>
      <c r="L38" s="394"/>
      <c r="M38" s="394"/>
      <c r="N38" s="394"/>
    </row>
    <row r="39" spans="1:14" ht="14.1" customHeight="1" x14ac:dyDescent="0.3">
      <c r="A39" s="1491" t="s">
        <v>778</v>
      </c>
      <c r="B39" s="1491"/>
      <c r="C39" s="1491"/>
      <c r="D39" s="1490"/>
      <c r="E39" s="1490"/>
      <c r="F39" s="1490"/>
      <c r="G39" s="1490"/>
      <c r="H39" s="1490"/>
      <c r="I39" s="109"/>
      <c r="J39" s="858" t="s">
        <v>391</v>
      </c>
      <c r="K39" s="398"/>
      <c r="L39" s="398"/>
      <c r="M39" s="398"/>
      <c r="N39" s="399"/>
    </row>
    <row r="40" spans="1:14" ht="14.1" customHeight="1" x14ac:dyDescent="0.3">
      <c r="A40" s="1441" t="s">
        <v>305</v>
      </c>
      <c r="B40" s="1441"/>
      <c r="C40" s="1441"/>
      <c r="D40" s="1441"/>
      <c r="E40" s="1441"/>
      <c r="F40" s="1441"/>
      <c r="G40" s="1441"/>
      <c r="H40" s="1441"/>
      <c r="I40" s="109"/>
      <c r="J40" s="970" t="s">
        <v>40</v>
      </c>
      <c r="K40" s="970" t="s">
        <v>41</v>
      </c>
      <c r="L40" s="403" t="s">
        <v>42</v>
      </c>
      <c r="M40" s="1475" t="s">
        <v>43</v>
      </c>
      <c r="N40" s="1476"/>
    </row>
    <row r="41" spans="1:14" ht="14.1" customHeight="1" x14ac:dyDescent="0.3">
      <c r="A41" s="1441"/>
      <c r="B41" s="1441"/>
      <c r="C41" s="1441"/>
      <c r="D41" s="1441"/>
      <c r="E41" s="1441"/>
      <c r="F41" s="1441"/>
      <c r="G41" s="1441"/>
      <c r="H41" s="1441"/>
      <c r="I41" s="404" t="s">
        <v>490</v>
      </c>
      <c r="J41" s="1479" t="s">
        <v>44</v>
      </c>
      <c r="K41" s="967" t="s">
        <v>920</v>
      </c>
      <c r="L41" s="971" t="s">
        <v>928</v>
      </c>
      <c r="M41" s="1468" t="s">
        <v>927</v>
      </c>
      <c r="N41" s="1469"/>
    </row>
    <row r="42" spans="1:14" x14ac:dyDescent="0.3">
      <c r="A42" s="1441"/>
      <c r="B42" s="1441"/>
      <c r="C42" s="1441"/>
      <c r="D42" s="1441"/>
      <c r="E42" s="1441"/>
      <c r="F42" s="1441"/>
      <c r="G42" s="1441"/>
      <c r="H42" s="1441"/>
      <c r="I42" s="5">
        <f>COUNTIF(H7:H27,"X")+COUNTIF(H29:H36,"X")</f>
        <v>5</v>
      </c>
      <c r="J42" s="1479"/>
      <c r="K42" s="966" t="s">
        <v>921</v>
      </c>
      <c r="L42" s="971" t="s">
        <v>928</v>
      </c>
      <c r="M42" s="1468" t="s">
        <v>929</v>
      </c>
      <c r="N42" s="1469"/>
    </row>
    <row r="43" spans="1:14" x14ac:dyDescent="0.3">
      <c r="J43" s="1479"/>
      <c r="K43" s="973" t="s">
        <v>922</v>
      </c>
      <c r="L43" s="974" t="s">
        <v>45</v>
      </c>
      <c r="M43" s="1474" t="s">
        <v>930</v>
      </c>
      <c r="N43" s="1474"/>
    </row>
    <row r="44" spans="1:14" ht="28.8" x14ac:dyDescent="0.3">
      <c r="J44" s="1480"/>
      <c r="K44" s="976" t="s">
        <v>938</v>
      </c>
      <c r="L44" s="1294" t="s">
        <v>931</v>
      </c>
      <c r="M44" s="1477" t="s">
        <v>940</v>
      </c>
      <c r="N44" s="1478"/>
    </row>
    <row r="45" spans="1:14" ht="28.8" x14ac:dyDescent="0.3">
      <c r="J45" s="1480"/>
      <c r="K45" s="969" t="s">
        <v>936</v>
      </c>
      <c r="L45" s="1295" t="s">
        <v>939</v>
      </c>
      <c r="M45" s="1470" t="s">
        <v>941</v>
      </c>
      <c r="N45" s="1471"/>
    </row>
    <row r="46" spans="1:14" x14ac:dyDescent="0.3">
      <c r="J46" s="1480"/>
      <c r="K46" s="965" t="s">
        <v>937</v>
      </c>
      <c r="L46" s="1296"/>
      <c r="M46" s="1472"/>
      <c r="N46" s="1473"/>
    </row>
    <row r="47" spans="1:14" x14ac:dyDescent="0.3">
      <c r="J47" s="1479" t="s">
        <v>46</v>
      </c>
      <c r="K47" s="968" t="s">
        <v>923</v>
      </c>
      <c r="L47" s="975" t="s">
        <v>47</v>
      </c>
      <c r="M47" s="1474" t="s">
        <v>932</v>
      </c>
      <c r="N47" s="1474"/>
    </row>
    <row r="48" spans="1:14" x14ac:dyDescent="0.3">
      <c r="J48" s="1479"/>
      <c r="K48" s="966" t="s">
        <v>393</v>
      </c>
      <c r="L48" s="972" t="s">
        <v>47</v>
      </c>
      <c r="M48" s="1468" t="s">
        <v>933</v>
      </c>
      <c r="N48" s="1469"/>
    </row>
    <row r="49" spans="10:14" x14ac:dyDescent="0.3">
      <c r="J49" s="1479" t="s">
        <v>48</v>
      </c>
      <c r="K49" s="966" t="s">
        <v>924</v>
      </c>
      <c r="L49" s="972" t="s">
        <v>934</v>
      </c>
      <c r="M49" s="1468" t="s">
        <v>935</v>
      </c>
      <c r="N49" s="1469"/>
    </row>
    <row r="50" spans="10:14" x14ac:dyDescent="0.3">
      <c r="J50" s="1479"/>
      <c r="K50" s="966" t="s">
        <v>925</v>
      </c>
      <c r="L50" s="972" t="s">
        <v>926</v>
      </c>
      <c r="M50" s="1468"/>
      <c r="N50" s="1469"/>
    </row>
    <row r="51" spans="10:14" x14ac:dyDescent="0.3">
      <c r="J51" s="1292" t="s">
        <v>49</v>
      </c>
      <c r="K51" s="1292" t="s">
        <v>50</v>
      </c>
      <c r="L51" s="1292" t="s">
        <v>47</v>
      </c>
      <c r="M51" s="1468" t="s">
        <v>1058</v>
      </c>
      <c r="N51" s="1469"/>
    </row>
    <row r="52" spans="10:14" x14ac:dyDescent="0.3">
      <c r="J52" s="1293" t="s">
        <v>51</v>
      </c>
      <c r="K52" s="1293" t="s">
        <v>52</v>
      </c>
      <c r="L52" s="1293" t="s">
        <v>53</v>
      </c>
      <c r="M52" s="1468">
        <v>3.5</v>
      </c>
      <c r="N52" s="1469"/>
    </row>
    <row r="60" spans="10:14" x14ac:dyDescent="0.3">
      <c r="N60" s="1164" t="s">
        <v>305</v>
      </c>
    </row>
    <row r="61" spans="10:14" ht="18.600000000000001" customHeight="1" x14ac:dyDescent="0.3"/>
    <row r="62" spans="10:14" ht="18.600000000000001" customHeight="1" x14ac:dyDescent="0.3"/>
    <row r="63" spans="10:14" ht="18.600000000000001" customHeight="1" x14ac:dyDescent="0.3"/>
    <row r="67" spans="8:9" x14ac:dyDescent="0.3">
      <c r="I67" s="50"/>
    </row>
    <row r="68" spans="8:9" x14ac:dyDescent="0.3">
      <c r="H68" s="163"/>
    </row>
  </sheetData>
  <sheetProtection algorithmName="SHA-512" hashValue="3D3Q+sSG4gMe6pxf84KdBXGPUi3U66HZDA4OhBL80sL880HVomOV9603hde69HwyZoF2kIXHypOPtbaZWMqrWg==" saltValue="47KgJygcOTWCYCyqnZiKaw==" spinCount="100000" sheet="1" objects="1" scenarios="1"/>
  <mergeCells count="54">
    <mergeCell ref="B20:F20"/>
    <mergeCell ref="B21:F21"/>
    <mergeCell ref="B31:F31"/>
    <mergeCell ref="B28:F28"/>
    <mergeCell ref="B29:F29"/>
    <mergeCell ref="B30:F30"/>
    <mergeCell ref="B22:F22"/>
    <mergeCell ref="A40:H40"/>
    <mergeCell ref="G4:H4"/>
    <mergeCell ref="B6:F6"/>
    <mergeCell ref="B7:F7"/>
    <mergeCell ref="B8:F8"/>
    <mergeCell ref="B9:F9"/>
    <mergeCell ref="B10:F10"/>
    <mergeCell ref="B17:F17"/>
    <mergeCell ref="B18:F18"/>
    <mergeCell ref="B11:F11"/>
    <mergeCell ref="B12:F12"/>
    <mergeCell ref="B14:F14"/>
    <mergeCell ref="B15:F15"/>
    <mergeCell ref="B16:F16"/>
    <mergeCell ref="B19:F19"/>
    <mergeCell ref="B13:E13"/>
    <mergeCell ref="D39:H39"/>
    <mergeCell ref="A39:C39"/>
    <mergeCell ref="B35:F35"/>
    <mergeCell ref="B36:F36"/>
    <mergeCell ref="B37:F37"/>
    <mergeCell ref="B34:F34"/>
    <mergeCell ref="B23:F23"/>
    <mergeCell ref="B24:F24"/>
    <mergeCell ref="B25:F25"/>
    <mergeCell ref="B26:F26"/>
    <mergeCell ref="B27:F27"/>
    <mergeCell ref="B32:F32"/>
    <mergeCell ref="B33:F33"/>
    <mergeCell ref="J47:J48"/>
    <mergeCell ref="J49:J50"/>
    <mergeCell ref="J41:J46"/>
    <mergeCell ref="A42:H42"/>
    <mergeCell ref="A41:H41"/>
    <mergeCell ref="M40:N40"/>
    <mergeCell ref="M41:N41"/>
    <mergeCell ref="M42:N42"/>
    <mergeCell ref="M43:N43"/>
    <mergeCell ref="M44:N44"/>
    <mergeCell ref="M50:N50"/>
    <mergeCell ref="M51:N51"/>
    <mergeCell ref="M52:N52"/>
    <mergeCell ref="M45:N45"/>
    <mergeCell ref="M46:N46"/>
    <mergeCell ref="M47:N47"/>
    <mergeCell ref="M48:N48"/>
    <mergeCell ref="M49:N49"/>
  </mergeCells>
  <dataValidations count="1">
    <dataValidation allowBlank="1" showInputMessage="1" showErrorMessage="1" prompt="n.a. appliqué automatique si équipement DR tel que déclaré à &quot;éqpmt&quot;" sqref="G13" xr:uid="{00000000-0002-0000-0400-000000000000}"/>
  </dataValidations>
  <printOptions horizontalCentered="1"/>
  <pageMargins left="0.70866141732283472" right="0.70866141732283472" top="0.74803149606299213" bottom="0.74803149606299213" header="0.31496062992125984" footer="0.31496062992125984"/>
  <pageSetup paperSize="120" scale="87" orientation="portrait" r:id="rId1"/>
  <headerFooter>
    <oddFooter>&amp;CPage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tabColor theme="3" tint="-0.249977111117893"/>
    <pageSetUpPr fitToPage="1"/>
  </sheetPr>
  <dimension ref="A1:Q44"/>
  <sheetViews>
    <sheetView topLeftCell="A16" zoomScaleNormal="100" workbookViewId="0">
      <selection activeCell="C10" sqref="C10"/>
    </sheetView>
  </sheetViews>
  <sheetFormatPr baseColWidth="10" defaultColWidth="10.6640625" defaultRowHeight="14.4" x14ac:dyDescent="0.3"/>
  <cols>
    <col min="1" max="1" width="26.6640625" style="50" customWidth="1"/>
    <col min="2" max="2" width="14.6640625" style="50" customWidth="1"/>
    <col min="3" max="3" width="13.5546875" style="50" customWidth="1"/>
    <col min="4" max="4" width="13.33203125" style="50" customWidth="1"/>
    <col min="5" max="5" width="11.33203125" style="50" customWidth="1"/>
    <col min="6" max="6" width="10.6640625" style="50"/>
    <col min="7" max="7" width="10.6640625" style="50" customWidth="1"/>
    <col min="8" max="8" width="10.6640625" style="50"/>
    <col min="9" max="9" width="5.6640625" style="70" customWidth="1"/>
    <col min="10" max="10" width="15.44140625" style="50" customWidth="1"/>
    <col min="11" max="11" width="10.6640625" style="50"/>
    <col min="12" max="12" width="14.6640625" style="50" customWidth="1"/>
    <col min="13" max="16384" width="10.6640625" style="50"/>
  </cols>
  <sheetData>
    <row r="1" spans="1:17" x14ac:dyDescent="0.3">
      <c r="A1" s="53" t="s">
        <v>753</v>
      </c>
      <c r="B1" s="54" t="str">
        <f>+Info!C10</f>
        <v>Clinique Ste-Mammo</v>
      </c>
      <c r="C1" s="55"/>
      <c r="D1" s="55"/>
      <c r="E1" s="55"/>
      <c r="F1" s="56" t="s">
        <v>755</v>
      </c>
      <c r="G1" s="55"/>
      <c r="H1" s="57" t="str">
        <f>+Info!C37</f>
        <v>20-01-2020</v>
      </c>
    </row>
    <row r="2" spans="1:17" x14ac:dyDescent="0.3">
      <c r="A2" s="58" t="s">
        <v>754</v>
      </c>
      <c r="B2" s="59" t="str">
        <f>+Info!C21</f>
        <v>Salle 2, Hirad IV</v>
      </c>
      <c r="C2" s="51"/>
      <c r="D2" s="51"/>
      <c r="E2" s="51"/>
      <c r="F2" s="60" t="s">
        <v>756</v>
      </c>
      <c r="G2" s="51"/>
      <c r="H2" s="61" t="str">
        <f>+Info!C35</f>
        <v>Alexandre Toussaint</v>
      </c>
    </row>
    <row r="3" spans="1:17" x14ac:dyDescent="0.3">
      <c r="A3" s="62"/>
      <c r="B3" s="62"/>
      <c r="C3" s="62"/>
      <c r="D3" s="62"/>
      <c r="E3" s="62"/>
      <c r="F3" s="62"/>
      <c r="G3" s="62"/>
      <c r="H3" s="62"/>
    </row>
    <row r="4" spans="1:17" ht="18" x14ac:dyDescent="0.35">
      <c r="A4" s="71" t="s">
        <v>779</v>
      </c>
      <c r="B4" s="72"/>
      <c r="C4" s="72"/>
      <c r="D4" s="72"/>
      <c r="E4" s="72"/>
      <c r="F4" s="72"/>
      <c r="G4" s="72"/>
      <c r="H4" s="72"/>
      <c r="I4" s="73"/>
      <c r="J4" s="601" t="s">
        <v>555</v>
      </c>
      <c r="K4" s="213"/>
      <c r="L4" s="213"/>
      <c r="M4" s="213"/>
      <c r="N4" s="74"/>
      <c r="O4" s="74"/>
      <c r="P4" s="74"/>
      <c r="Q4" s="74"/>
    </row>
    <row r="5" spans="1:17" x14ac:dyDescent="0.3">
      <c r="A5" s="72"/>
      <c r="B5" s="52"/>
      <c r="C5" s="52"/>
      <c r="D5" s="52"/>
      <c r="E5" s="52"/>
      <c r="F5" s="52"/>
      <c r="G5" s="52"/>
      <c r="H5" s="52"/>
      <c r="I5" s="75"/>
      <c r="J5" s="76"/>
      <c r="K5" s="76"/>
      <c r="L5" s="76"/>
      <c r="M5" s="76"/>
      <c r="N5" s="75"/>
      <c r="O5" s="75"/>
      <c r="P5" s="75"/>
      <c r="Q5" s="75"/>
    </row>
    <row r="6" spans="1:17" x14ac:dyDescent="0.3">
      <c r="A6" s="1527" t="s">
        <v>25</v>
      </c>
      <c r="B6" s="1529" t="s">
        <v>491</v>
      </c>
      <c r="C6" s="1530"/>
      <c r="D6" s="77"/>
      <c r="E6" s="77"/>
      <c r="F6" s="77"/>
      <c r="G6" s="1518" t="s">
        <v>15</v>
      </c>
      <c r="H6" s="1518"/>
      <c r="I6" s="78"/>
      <c r="J6" s="980" t="s">
        <v>944</v>
      </c>
      <c r="K6" s="980"/>
      <c r="L6" s="980"/>
      <c r="M6" s="981"/>
    </row>
    <row r="7" spans="1:17" x14ac:dyDescent="0.3">
      <c r="A7" s="1528"/>
      <c r="B7" s="1506"/>
      <c r="C7" s="1507"/>
      <c r="D7" s="540"/>
      <c r="E7" s="540"/>
      <c r="F7" s="540"/>
      <c r="G7" s="534" t="s">
        <v>16</v>
      </c>
      <c r="H7" s="534" t="s">
        <v>17</v>
      </c>
      <c r="I7" s="78"/>
      <c r="J7" s="980" t="s">
        <v>945</v>
      </c>
      <c r="K7" s="980"/>
      <c r="L7" s="980"/>
      <c r="M7" s="981"/>
    </row>
    <row r="8" spans="1:17" x14ac:dyDescent="0.3">
      <c r="A8" s="1531" t="s">
        <v>492</v>
      </c>
      <c r="B8" s="1533" t="s">
        <v>631</v>
      </c>
      <c r="C8" s="1533" t="s">
        <v>632</v>
      </c>
      <c r="D8" s="406" t="s">
        <v>493</v>
      </c>
      <c r="E8" s="1533" t="s">
        <v>495</v>
      </c>
      <c r="F8" s="536" t="s">
        <v>175</v>
      </c>
      <c r="G8" s="79"/>
      <c r="H8" s="79"/>
      <c r="I8" s="78"/>
      <c r="J8" s="980" t="s">
        <v>946</v>
      </c>
      <c r="K8" s="980"/>
      <c r="L8" s="980"/>
      <c r="M8" s="981"/>
    </row>
    <row r="9" spans="1:17" ht="15" x14ac:dyDescent="0.3">
      <c r="A9" s="1532"/>
      <c r="B9" s="1534"/>
      <c r="C9" s="1534"/>
      <c r="D9" s="80" t="s">
        <v>494</v>
      </c>
      <c r="E9" s="1534" t="s">
        <v>54</v>
      </c>
      <c r="F9" s="537" t="s">
        <v>55</v>
      </c>
      <c r="G9" s="79"/>
      <c r="H9" s="79"/>
      <c r="I9" s="78"/>
      <c r="J9" s="982"/>
      <c r="K9" s="982"/>
      <c r="L9" s="982"/>
      <c r="M9" s="983"/>
    </row>
    <row r="10" spans="1:17" ht="25.2" customHeight="1" x14ac:dyDescent="0.3">
      <c r="A10" s="82" t="s">
        <v>633</v>
      </c>
      <c r="B10" s="10">
        <v>20</v>
      </c>
      <c r="C10" s="11">
        <v>21.1</v>
      </c>
      <c r="D10" s="17"/>
      <c r="E10" s="16">
        <f>+ABS(C10-B10)</f>
        <v>1.1000000000000014</v>
      </c>
      <c r="F10" s="17"/>
      <c r="G10" s="18" t="str">
        <f>IF(ABS(E10)&lt;=2,IF(C10&gt;=15,IF(C10&lt;=21,"X",""),""),"")</f>
        <v/>
      </c>
      <c r="H10" s="18" t="str">
        <f>IF(ABS(E10)&gt;2,"X",IF(C10&gt;21,"X",IF(C10&lt;15,"X","")))</f>
        <v>X</v>
      </c>
      <c r="I10" s="81"/>
      <c r="L10" s="601" t="s">
        <v>554</v>
      </c>
      <c r="M10" s="518"/>
      <c r="N10" s="518"/>
      <c r="O10" s="518"/>
    </row>
    <row r="11" spans="1:17" ht="15" customHeight="1" x14ac:dyDescent="0.3">
      <c r="A11" s="82" t="s">
        <v>634</v>
      </c>
      <c r="B11" s="10">
        <v>5</v>
      </c>
      <c r="C11" s="12">
        <v>5.5</v>
      </c>
      <c r="D11" s="17"/>
      <c r="E11" s="16">
        <f t="shared" ref="E11:E13" si="0">+ABS(C11-B11)</f>
        <v>0.5</v>
      </c>
      <c r="F11" s="17"/>
      <c r="G11" s="18" t="str">
        <f>IF(ABS(E11)&lt;=2,"X","")</f>
        <v>X</v>
      </c>
      <c r="H11" s="18" t="str">
        <f>IF(ABS(E11)&gt;2,"X","")</f>
        <v/>
      </c>
      <c r="I11" s="81"/>
      <c r="L11" s="589" t="s">
        <v>553</v>
      </c>
      <c r="M11" s="518" t="s">
        <v>943</v>
      </c>
      <c r="N11" s="518"/>
      <c r="O11" s="979">
        <f>1/2.248</f>
        <v>0.44483985765124551</v>
      </c>
    </row>
    <row r="12" spans="1:17" ht="15" customHeight="1" x14ac:dyDescent="0.3">
      <c r="A12" s="82" t="s">
        <v>634</v>
      </c>
      <c r="B12" s="10">
        <v>10</v>
      </c>
      <c r="C12" s="12">
        <v>8</v>
      </c>
      <c r="D12" s="12">
        <v>8.9</v>
      </c>
      <c r="E12" s="16">
        <f t="shared" si="0"/>
        <v>2</v>
      </c>
      <c r="F12" s="16">
        <f>ABS(D12-C12)</f>
        <v>0.90000000000000036</v>
      </c>
      <c r="G12" s="18" t="str">
        <f>IF(ABS(E12)&lt;=2,IF(ABS(F12)&lt;=1,"X",""),"")</f>
        <v>X</v>
      </c>
      <c r="H12" s="18" t="str">
        <f>IF(ABS(E12)&gt;2,"X",IF(ABS(F12)&gt;1,"X",""))</f>
        <v/>
      </c>
      <c r="I12" s="81"/>
      <c r="L12" s="76"/>
      <c r="M12" s="519" t="s">
        <v>520</v>
      </c>
      <c r="N12" s="519" t="s">
        <v>557</v>
      </c>
      <c r="O12" s="519" t="s">
        <v>942</v>
      </c>
    </row>
    <row r="13" spans="1:17" ht="25.2" customHeight="1" x14ac:dyDescent="0.3">
      <c r="A13" s="82" t="s">
        <v>635</v>
      </c>
      <c r="B13" s="10">
        <v>30</v>
      </c>
      <c r="C13" s="11">
        <v>31.1</v>
      </c>
      <c r="D13" s="17"/>
      <c r="E13" s="16">
        <f t="shared" si="0"/>
        <v>1.1000000000000014</v>
      </c>
      <c r="F13" s="17"/>
      <c r="G13" s="18" t="str">
        <f>IF(ABS(E13)&lt;=2,IF(C13&lt;=31,"X",""),"")</f>
        <v/>
      </c>
      <c r="H13" s="18" t="str">
        <f>IF(ABS(E13)&gt;2,"X",IF(C13&gt;31,"X",""))</f>
        <v>X</v>
      </c>
      <c r="I13" s="81"/>
      <c r="L13" s="76" t="s">
        <v>556</v>
      </c>
      <c r="M13" s="520">
        <v>1</v>
      </c>
      <c r="N13" s="977">
        <f>+M13*2.2046</f>
        <v>2.2046000000000001</v>
      </c>
      <c r="O13" s="978">
        <f t="shared" ref="O13:O42" si="1">N13*$O$11</f>
        <v>0.98069395017793592</v>
      </c>
    </row>
    <row r="14" spans="1:17" s="85" customFormat="1" ht="12" customHeight="1" x14ac:dyDescent="0.2">
      <c r="A14" s="86" t="s">
        <v>56</v>
      </c>
      <c r="B14" s="83"/>
      <c r="C14" s="83"/>
      <c r="D14" s="83"/>
      <c r="E14" s="83"/>
      <c r="F14" s="83"/>
      <c r="G14" s="83"/>
      <c r="H14" s="83"/>
      <c r="I14" s="84"/>
      <c r="L14" s="76"/>
      <c r="M14" s="520">
        <v>2</v>
      </c>
      <c r="N14" s="977">
        <f t="shared" ref="N14:N42" si="2">+M14*2.2046</f>
        <v>4.4092000000000002</v>
      </c>
      <c r="O14" s="978">
        <f t="shared" si="1"/>
        <v>1.9613879003558718</v>
      </c>
    </row>
    <row r="15" spans="1:17" s="85" customFormat="1" ht="12" customHeight="1" x14ac:dyDescent="0.2">
      <c r="A15" s="86" t="s">
        <v>947</v>
      </c>
      <c r="B15" s="87"/>
      <c r="C15" s="87"/>
      <c r="D15" s="87"/>
      <c r="E15" s="87"/>
      <c r="F15" s="87"/>
      <c r="G15" s="87"/>
      <c r="H15" s="87"/>
      <c r="I15" s="84"/>
      <c r="M15" s="520">
        <v>3</v>
      </c>
      <c r="N15" s="977">
        <f t="shared" si="2"/>
        <v>6.6138000000000003</v>
      </c>
      <c r="O15" s="978">
        <f t="shared" si="1"/>
        <v>2.9420818505338078</v>
      </c>
    </row>
    <row r="16" spans="1:17" s="85" customFormat="1" ht="12" customHeight="1" x14ac:dyDescent="0.2">
      <c r="A16" s="86" t="s">
        <v>948</v>
      </c>
      <c r="B16" s="87"/>
      <c r="C16" s="87"/>
      <c r="D16" s="87"/>
      <c r="E16" s="87"/>
      <c r="F16" s="87"/>
      <c r="G16" s="87"/>
      <c r="H16" s="87"/>
      <c r="I16" s="84"/>
      <c r="L16" s="76"/>
      <c r="M16" s="520">
        <v>4</v>
      </c>
      <c r="N16" s="977">
        <f t="shared" si="2"/>
        <v>8.8184000000000005</v>
      </c>
      <c r="O16" s="978">
        <f t="shared" si="1"/>
        <v>3.9227758007117437</v>
      </c>
    </row>
    <row r="17" spans="1:15" s="85" customFormat="1" ht="12" customHeight="1" x14ac:dyDescent="0.2">
      <c r="A17" s="86" t="s">
        <v>57</v>
      </c>
      <c r="B17" s="87"/>
      <c r="C17" s="87"/>
      <c r="D17" s="87"/>
      <c r="E17" s="87"/>
      <c r="F17" s="87"/>
      <c r="G17" s="87"/>
      <c r="H17" s="87"/>
      <c r="I17" s="84"/>
      <c r="L17" s="76"/>
      <c r="M17" s="520">
        <v>5</v>
      </c>
      <c r="N17" s="977">
        <f t="shared" si="2"/>
        <v>11.023</v>
      </c>
      <c r="O17" s="978">
        <f t="shared" si="1"/>
        <v>4.9034697508896787</v>
      </c>
    </row>
    <row r="18" spans="1:15" x14ac:dyDescent="0.3">
      <c r="A18" s="86" t="s">
        <v>906</v>
      </c>
      <c r="B18" s="52"/>
      <c r="C18" s="52"/>
      <c r="D18" s="52"/>
      <c r="E18" s="52"/>
      <c r="F18" s="52"/>
      <c r="G18" s="52"/>
      <c r="H18" s="52"/>
      <c r="I18" s="78"/>
      <c r="L18" s="75"/>
      <c r="M18" s="520">
        <v>6</v>
      </c>
      <c r="N18" s="977">
        <f t="shared" si="2"/>
        <v>13.227600000000001</v>
      </c>
      <c r="O18" s="978">
        <f t="shared" si="1"/>
        <v>5.8841637010676155</v>
      </c>
    </row>
    <row r="19" spans="1:15" x14ac:dyDescent="0.3">
      <c r="A19" s="86"/>
      <c r="B19" s="52"/>
      <c r="C19" s="52"/>
      <c r="D19" s="52"/>
      <c r="E19" s="52"/>
      <c r="F19" s="52"/>
      <c r="G19" s="52"/>
      <c r="H19" s="52"/>
      <c r="I19" s="78"/>
      <c r="L19" s="75"/>
      <c r="M19" s="520">
        <v>7</v>
      </c>
      <c r="N19" s="977">
        <f t="shared" si="2"/>
        <v>15.432200000000002</v>
      </c>
      <c r="O19" s="978">
        <f t="shared" si="1"/>
        <v>6.8648576512455515</v>
      </c>
    </row>
    <row r="20" spans="1:15" x14ac:dyDescent="0.3">
      <c r="A20" s="72" t="s">
        <v>58</v>
      </c>
      <c r="B20" s="52"/>
      <c r="C20" s="52"/>
      <c r="D20" s="52"/>
      <c r="E20" s="52"/>
      <c r="F20" s="52"/>
      <c r="G20" s="52"/>
      <c r="H20" s="52"/>
      <c r="I20" s="91"/>
      <c r="L20" s="92"/>
      <c r="M20" s="520">
        <v>8</v>
      </c>
      <c r="N20" s="977">
        <f t="shared" si="2"/>
        <v>17.636800000000001</v>
      </c>
      <c r="O20" s="978">
        <f t="shared" si="1"/>
        <v>7.8455516014234874</v>
      </c>
    </row>
    <row r="21" spans="1:15" x14ac:dyDescent="0.3">
      <c r="A21" s="89" t="s">
        <v>636</v>
      </c>
      <c r="B21" s="1512" t="s">
        <v>497</v>
      </c>
      <c r="C21" s="1513"/>
      <c r="D21" s="1513"/>
      <c r="E21" s="1514"/>
      <c r="F21" s="90" t="s">
        <v>120</v>
      </c>
      <c r="G21" s="1518" t="s">
        <v>15</v>
      </c>
      <c r="H21" s="1518"/>
      <c r="I21" s="78"/>
      <c r="J21" s="980" t="s">
        <v>949</v>
      </c>
      <c r="K21" s="980"/>
      <c r="L21" s="75"/>
      <c r="M21" s="520">
        <v>9</v>
      </c>
      <c r="N21" s="977">
        <f t="shared" si="2"/>
        <v>19.8414</v>
      </c>
      <c r="O21" s="978">
        <f t="shared" si="1"/>
        <v>8.8262455516014224</v>
      </c>
    </row>
    <row r="22" spans="1:15" x14ac:dyDescent="0.3">
      <c r="A22" s="93" t="s">
        <v>496</v>
      </c>
      <c r="B22" s="1515"/>
      <c r="C22" s="1516"/>
      <c r="D22" s="1516"/>
      <c r="E22" s="1517"/>
      <c r="F22" s="80" t="s">
        <v>498</v>
      </c>
      <c r="G22" s="534" t="s">
        <v>16</v>
      </c>
      <c r="H22" s="534" t="s">
        <v>17</v>
      </c>
      <c r="I22" s="78"/>
      <c r="J22" s="980" t="s">
        <v>950</v>
      </c>
      <c r="K22" s="980"/>
      <c r="L22" s="75"/>
      <c r="M22" s="520">
        <v>10</v>
      </c>
      <c r="N22" s="977">
        <f t="shared" si="2"/>
        <v>22.045999999999999</v>
      </c>
      <c r="O22" s="978">
        <f t="shared" si="1"/>
        <v>9.8069395017793575</v>
      </c>
    </row>
    <row r="23" spans="1:15" x14ac:dyDescent="0.3">
      <c r="A23" s="94" t="s">
        <v>637</v>
      </c>
      <c r="B23" s="95" t="s">
        <v>558</v>
      </c>
      <c r="C23" s="95" t="s">
        <v>559</v>
      </c>
      <c r="D23" s="96" t="s">
        <v>560</v>
      </c>
      <c r="E23" s="96" t="s">
        <v>561</v>
      </c>
      <c r="F23" s="97"/>
      <c r="G23" s="551"/>
      <c r="H23" s="551"/>
      <c r="I23" s="99"/>
      <c r="J23" s="980" t="s">
        <v>951</v>
      </c>
      <c r="K23" s="980"/>
      <c r="L23" s="92"/>
      <c r="M23" s="520">
        <v>11</v>
      </c>
      <c r="N23" s="977">
        <f t="shared" si="2"/>
        <v>24.250600000000002</v>
      </c>
      <c r="O23" s="978">
        <f t="shared" si="1"/>
        <v>10.787633451957296</v>
      </c>
    </row>
    <row r="24" spans="1:15" x14ac:dyDescent="0.3">
      <c r="A24" s="13" t="s">
        <v>59</v>
      </c>
      <c r="B24" s="10">
        <v>45</v>
      </c>
      <c r="C24" s="10">
        <v>43</v>
      </c>
      <c r="D24" s="10">
        <v>43</v>
      </c>
      <c r="E24" s="10">
        <v>54</v>
      </c>
      <c r="F24" s="18">
        <f>+MAX(B24:E24)-MIN(B24:E24)</f>
        <v>11</v>
      </c>
      <c r="G24" s="98" t="str">
        <f>IF(F24&lt;=10,"X","")</f>
        <v/>
      </c>
      <c r="H24" s="98" t="str">
        <f>IF(F24&gt;10,"X","")</f>
        <v>X</v>
      </c>
      <c r="I24" s="99"/>
      <c r="J24" s="1169" t="s">
        <v>1046</v>
      </c>
      <c r="L24" s="520" t="s">
        <v>562</v>
      </c>
      <c r="M24" s="520">
        <v>12</v>
      </c>
      <c r="N24" s="977">
        <f t="shared" si="2"/>
        <v>26.455200000000001</v>
      </c>
      <c r="O24" s="978">
        <f t="shared" si="1"/>
        <v>11.768327402135231</v>
      </c>
    </row>
    <row r="25" spans="1:15" s="85" customFormat="1" ht="12" customHeight="1" x14ac:dyDescent="0.2">
      <c r="A25" s="10" t="s">
        <v>60</v>
      </c>
      <c r="B25" s="10">
        <v>42</v>
      </c>
      <c r="C25" s="10">
        <v>41</v>
      </c>
      <c r="D25" s="10">
        <v>47</v>
      </c>
      <c r="E25" s="10">
        <v>48</v>
      </c>
      <c r="F25" s="18">
        <f>+MAX(B25:E25)-MIN(B25:E25)</f>
        <v>7</v>
      </c>
      <c r="G25" s="18" t="str">
        <f>IF(F25&lt;=10,"X","")</f>
        <v>X</v>
      </c>
      <c r="H25" s="18" t="str">
        <f>IF(F25&gt;10,"X","")</f>
        <v/>
      </c>
      <c r="I25" s="84"/>
      <c r="J25" s="1169" t="s">
        <v>1047</v>
      </c>
      <c r="L25" s="520" t="s">
        <v>563</v>
      </c>
      <c r="M25" s="520">
        <v>13</v>
      </c>
      <c r="N25" s="977">
        <f t="shared" si="2"/>
        <v>28.659800000000001</v>
      </c>
      <c r="O25" s="978">
        <f t="shared" si="1"/>
        <v>12.749021352313166</v>
      </c>
    </row>
    <row r="26" spans="1:15" s="85" customFormat="1" ht="12" customHeight="1" x14ac:dyDescent="0.2">
      <c r="A26" s="86" t="s">
        <v>61</v>
      </c>
      <c r="B26" s="83"/>
      <c r="C26" s="83"/>
      <c r="D26" s="83"/>
      <c r="E26" s="83"/>
      <c r="F26" s="83"/>
      <c r="G26" s="83"/>
      <c r="H26" s="83"/>
      <c r="I26" s="84"/>
      <c r="L26" s="520" t="s">
        <v>564</v>
      </c>
      <c r="M26" s="520">
        <v>14</v>
      </c>
      <c r="N26" s="977">
        <f t="shared" si="2"/>
        <v>30.864400000000003</v>
      </c>
      <c r="O26" s="978">
        <f t="shared" si="1"/>
        <v>13.729715302491103</v>
      </c>
    </row>
    <row r="27" spans="1:15" s="85" customFormat="1" ht="12" customHeight="1" x14ac:dyDescent="0.2">
      <c r="A27" s="86" t="s">
        <v>780</v>
      </c>
      <c r="B27" s="87"/>
      <c r="C27" s="87"/>
      <c r="D27" s="87"/>
      <c r="E27" s="87"/>
      <c r="F27" s="87"/>
      <c r="G27" s="87"/>
      <c r="H27" s="87"/>
      <c r="I27" s="84"/>
      <c r="L27" s="76"/>
      <c r="M27" s="520">
        <v>15</v>
      </c>
      <c r="N27" s="977">
        <f t="shared" si="2"/>
        <v>33.069000000000003</v>
      </c>
      <c r="O27" s="978">
        <f t="shared" si="1"/>
        <v>14.710409252669038</v>
      </c>
    </row>
    <row r="28" spans="1:15" x14ac:dyDescent="0.3">
      <c r="A28" s="86" t="s">
        <v>1048</v>
      </c>
      <c r="B28" s="87"/>
      <c r="C28" s="87"/>
      <c r="D28" s="87"/>
      <c r="E28" s="87"/>
      <c r="F28" s="87"/>
      <c r="G28" s="87"/>
      <c r="H28" s="87"/>
      <c r="I28" s="78"/>
      <c r="L28" s="75"/>
      <c r="M28" s="520">
        <v>16</v>
      </c>
      <c r="N28" s="977">
        <f t="shared" si="2"/>
        <v>35.273600000000002</v>
      </c>
      <c r="O28" s="978">
        <f t="shared" si="1"/>
        <v>15.691103202846975</v>
      </c>
    </row>
    <row r="29" spans="1:15" x14ac:dyDescent="0.3">
      <c r="A29" s="100"/>
      <c r="B29" s="52"/>
      <c r="C29" s="52"/>
      <c r="D29" s="52"/>
      <c r="E29" s="52"/>
      <c r="F29" s="52"/>
      <c r="G29" s="52"/>
      <c r="H29" s="52"/>
      <c r="I29" s="84"/>
      <c r="L29" s="76"/>
      <c r="M29" s="520">
        <v>17</v>
      </c>
      <c r="N29" s="977">
        <f t="shared" si="2"/>
        <v>37.478200000000001</v>
      </c>
      <c r="O29" s="978">
        <f t="shared" si="1"/>
        <v>16.671797153024912</v>
      </c>
    </row>
    <row r="30" spans="1:15" x14ac:dyDescent="0.3">
      <c r="A30" s="72" t="s">
        <v>62</v>
      </c>
      <c r="B30" s="101"/>
      <c r="C30" s="101"/>
      <c r="D30" s="101"/>
      <c r="E30" s="101"/>
      <c r="F30" s="101"/>
      <c r="G30" s="101"/>
      <c r="H30" s="101"/>
      <c r="I30" s="84"/>
      <c r="L30" s="76"/>
      <c r="M30" s="520">
        <v>18</v>
      </c>
      <c r="N30" s="977">
        <f t="shared" si="2"/>
        <v>39.6828</v>
      </c>
      <c r="O30" s="978">
        <f t="shared" si="1"/>
        <v>17.652491103202845</v>
      </c>
    </row>
    <row r="31" spans="1:15" x14ac:dyDescent="0.3">
      <c r="A31" s="542" t="s">
        <v>638</v>
      </c>
      <c r="B31" s="1519" t="s">
        <v>440</v>
      </c>
      <c r="C31" s="1513" t="s">
        <v>639</v>
      </c>
      <c r="D31" s="1513"/>
      <c r="E31" s="1522" t="s">
        <v>523</v>
      </c>
      <c r="F31" s="1523"/>
      <c r="G31" s="1526" t="s">
        <v>15</v>
      </c>
      <c r="H31" s="1518"/>
      <c r="I31" s="84"/>
      <c r="L31" s="76"/>
      <c r="M31" s="520">
        <v>19</v>
      </c>
      <c r="N31" s="977">
        <f t="shared" si="2"/>
        <v>41.8874</v>
      </c>
      <c r="O31" s="978">
        <f t="shared" si="1"/>
        <v>18.633185053380782</v>
      </c>
    </row>
    <row r="32" spans="1:15" x14ac:dyDescent="0.3">
      <c r="A32" s="543" t="s">
        <v>499</v>
      </c>
      <c r="B32" s="1520"/>
      <c r="C32" s="1521"/>
      <c r="D32" s="1521"/>
      <c r="E32" s="1524"/>
      <c r="F32" s="1525"/>
      <c r="G32" s="544" t="s">
        <v>16</v>
      </c>
      <c r="H32" s="534" t="s">
        <v>17</v>
      </c>
      <c r="I32" s="84"/>
      <c r="L32" s="76"/>
      <c r="M32" s="520">
        <v>20</v>
      </c>
      <c r="N32" s="977">
        <f t="shared" si="2"/>
        <v>44.091999999999999</v>
      </c>
      <c r="O32" s="978">
        <f t="shared" si="1"/>
        <v>19.613879003558715</v>
      </c>
    </row>
    <row r="33" spans="1:15" ht="15" customHeight="1" x14ac:dyDescent="0.3">
      <c r="A33" s="102" t="s">
        <v>63</v>
      </c>
      <c r="B33" s="535" t="s">
        <v>520</v>
      </c>
      <c r="C33" s="1505" t="s">
        <v>63</v>
      </c>
      <c r="D33" s="1505"/>
      <c r="E33" s="1506" t="s">
        <v>63</v>
      </c>
      <c r="F33" s="1507"/>
      <c r="G33" s="546"/>
      <c r="H33" s="551"/>
      <c r="I33" s="99"/>
      <c r="L33" s="76"/>
      <c r="M33" s="520">
        <v>21</v>
      </c>
      <c r="N33" s="977">
        <f t="shared" si="2"/>
        <v>46.296600000000005</v>
      </c>
      <c r="O33" s="978">
        <f t="shared" si="1"/>
        <v>20.594572953736655</v>
      </c>
    </row>
    <row r="34" spans="1:15" s="103" customFormat="1" ht="15" customHeight="1" x14ac:dyDescent="0.3">
      <c r="A34" s="14">
        <v>20</v>
      </c>
      <c r="B34" s="15">
        <v>10</v>
      </c>
      <c r="C34" s="1508">
        <v>22</v>
      </c>
      <c r="D34" s="1509"/>
      <c r="E34" s="1510">
        <f>+ABS(C34-A34)</f>
        <v>2</v>
      </c>
      <c r="F34" s="1511"/>
      <c r="G34" s="19" t="str">
        <f>IF(E34&lt;=8,"X","")</f>
        <v>X</v>
      </c>
      <c r="H34" s="19" t="str">
        <f>IF(E34&gt;8,"X","")</f>
        <v/>
      </c>
      <c r="I34" s="99"/>
      <c r="L34" s="76"/>
      <c r="M34" s="520">
        <v>22</v>
      </c>
      <c r="N34" s="977">
        <f t="shared" si="2"/>
        <v>48.501200000000004</v>
      </c>
      <c r="O34" s="978">
        <f t="shared" si="1"/>
        <v>21.575266903914592</v>
      </c>
    </row>
    <row r="35" spans="1:15" s="103" customFormat="1" ht="15" customHeight="1" x14ac:dyDescent="0.3">
      <c r="A35" s="545">
        <v>45</v>
      </c>
      <c r="B35" s="15">
        <v>10</v>
      </c>
      <c r="C35" s="1508">
        <v>44</v>
      </c>
      <c r="D35" s="1509"/>
      <c r="E35" s="1510">
        <f t="shared" ref="E35:E36" si="3">+ABS(C35-A35)</f>
        <v>1</v>
      </c>
      <c r="F35" s="1511"/>
      <c r="G35" s="19" t="str">
        <f t="shared" ref="G35:G36" si="4">IF(E35&lt;=8,"X","")</f>
        <v>X</v>
      </c>
      <c r="H35" s="19" t="str">
        <f t="shared" ref="H35:H36" si="5">IF(E35&gt;8,"X","")</f>
        <v/>
      </c>
      <c r="I35" s="99"/>
      <c r="L35" s="76"/>
      <c r="M35" s="520">
        <v>23</v>
      </c>
      <c r="N35" s="977">
        <f t="shared" si="2"/>
        <v>50.705800000000004</v>
      </c>
      <c r="O35" s="978">
        <f t="shared" si="1"/>
        <v>22.555960854092525</v>
      </c>
    </row>
    <row r="36" spans="1:15" s="85" customFormat="1" ht="12" customHeight="1" x14ac:dyDescent="0.2">
      <c r="A36" s="545">
        <v>70</v>
      </c>
      <c r="B36" s="15">
        <v>10</v>
      </c>
      <c r="C36" s="1508">
        <v>60</v>
      </c>
      <c r="D36" s="1509"/>
      <c r="E36" s="1510">
        <f t="shared" si="3"/>
        <v>10</v>
      </c>
      <c r="F36" s="1511"/>
      <c r="G36" s="1179" t="str">
        <f t="shared" si="4"/>
        <v/>
      </c>
      <c r="H36" s="1179" t="str">
        <f t="shared" si="5"/>
        <v>X</v>
      </c>
      <c r="I36" s="84"/>
      <c r="L36" s="76"/>
      <c r="M36" s="520">
        <v>24</v>
      </c>
      <c r="N36" s="977">
        <f t="shared" si="2"/>
        <v>52.910400000000003</v>
      </c>
      <c r="O36" s="978">
        <f t="shared" si="1"/>
        <v>23.536654804270462</v>
      </c>
    </row>
    <row r="37" spans="1:15" s="85" customFormat="1" ht="12" customHeight="1" x14ac:dyDescent="0.2">
      <c r="A37" s="86" t="s">
        <v>789</v>
      </c>
      <c r="B37" s="83"/>
      <c r="C37" s="83"/>
      <c r="D37" s="83"/>
      <c r="E37" s="83"/>
      <c r="F37" s="83"/>
      <c r="G37" s="83"/>
      <c r="H37" s="83"/>
      <c r="I37" s="84"/>
      <c r="L37" s="76"/>
      <c r="M37" s="520">
        <v>25</v>
      </c>
      <c r="N37" s="977">
        <f t="shared" si="2"/>
        <v>55.115000000000002</v>
      </c>
      <c r="O37" s="978">
        <f t="shared" si="1"/>
        <v>24.517348754448395</v>
      </c>
    </row>
    <row r="38" spans="1:15" x14ac:dyDescent="0.3">
      <c r="A38" s="86" t="s">
        <v>788</v>
      </c>
      <c r="B38" s="87"/>
      <c r="C38" s="87"/>
      <c r="D38" s="87"/>
      <c r="E38" s="87"/>
      <c r="F38" s="87"/>
      <c r="G38" s="87"/>
      <c r="H38" s="87"/>
      <c r="I38" s="78"/>
      <c r="L38" s="75"/>
      <c r="M38" s="520">
        <v>26</v>
      </c>
      <c r="N38" s="977">
        <f t="shared" si="2"/>
        <v>57.319600000000001</v>
      </c>
      <c r="O38" s="978">
        <f t="shared" si="1"/>
        <v>25.498042704626332</v>
      </c>
    </row>
    <row r="39" spans="1:15" x14ac:dyDescent="0.3">
      <c r="A39" s="52"/>
      <c r="B39" s="52"/>
      <c r="C39" s="52"/>
      <c r="D39" s="52"/>
      <c r="E39" s="52"/>
      <c r="F39" s="52"/>
      <c r="G39" s="52"/>
      <c r="H39" s="52"/>
      <c r="I39" s="78"/>
      <c r="L39" s="75"/>
      <c r="M39" s="520">
        <v>27</v>
      </c>
      <c r="N39" s="977">
        <f t="shared" si="2"/>
        <v>59.5242</v>
      </c>
      <c r="O39" s="978">
        <f t="shared" si="1"/>
        <v>26.478736654804269</v>
      </c>
    </row>
    <row r="40" spans="1:15" x14ac:dyDescent="0.3">
      <c r="A40" s="881" t="s">
        <v>782</v>
      </c>
      <c r="B40" s="881"/>
      <c r="C40" s="882"/>
      <c r="D40" s="1490" t="s">
        <v>502</v>
      </c>
      <c r="E40" s="1490"/>
      <c r="F40" s="1490"/>
      <c r="G40" s="1490"/>
      <c r="H40" s="1490"/>
      <c r="I40" s="104"/>
      <c r="M40" s="520">
        <v>28</v>
      </c>
      <c r="N40" s="977">
        <f t="shared" si="2"/>
        <v>61.728800000000007</v>
      </c>
      <c r="O40" s="978">
        <f t="shared" si="1"/>
        <v>27.459430604982206</v>
      </c>
    </row>
    <row r="41" spans="1:15" x14ac:dyDescent="0.3">
      <c r="A41" s="1441"/>
      <c r="B41" s="1441"/>
      <c r="C41" s="1441"/>
      <c r="D41" s="1441"/>
      <c r="E41" s="1441"/>
      <c r="F41" s="1441"/>
      <c r="G41" s="1441"/>
      <c r="H41" s="1441"/>
      <c r="I41" s="104"/>
      <c r="M41" s="520">
        <v>29</v>
      </c>
      <c r="N41" s="977">
        <f t="shared" si="2"/>
        <v>63.933400000000006</v>
      </c>
      <c r="O41" s="978">
        <f t="shared" si="1"/>
        <v>28.440124555160143</v>
      </c>
    </row>
    <row r="42" spans="1:15" x14ac:dyDescent="0.3">
      <c r="A42" s="1441" t="s">
        <v>502</v>
      </c>
      <c r="B42" s="1441"/>
      <c r="C42" s="1441"/>
      <c r="D42" s="1441"/>
      <c r="E42" s="1441"/>
      <c r="F42" s="1441"/>
      <c r="G42" s="1441"/>
      <c r="H42" s="1441"/>
      <c r="M42" s="520">
        <v>30</v>
      </c>
      <c r="N42" s="977">
        <f t="shared" si="2"/>
        <v>66.138000000000005</v>
      </c>
      <c r="O42" s="978">
        <f t="shared" si="1"/>
        <v>29.420818505338076</v>
      </c>
    </row>
    <row r="43" spans="1:15" x14ac:dyDescent="0.3">
      <c r="A43" s="1441"/>
      <c r="B43" s="1441"/>
      <c r="C43" s="1441"/>
      <c r="D43" s="1441"/>
      <c r="E43" s="1441"/>
      <c r="F43" s="1441"/>
      <c r="G43" s="1441"/>
      <c r="H43" s="1441"/>
      <c r="I43" s="405" t="s">
        <v>490</v>
      </c>
    </row>
    <row r="44" spans="1:15" x14ac:dyDescent="0.3">
      <c r="A44" s="1441"/>
      <c r="B44" s="1441"/>
      <c r="C44" s="1441"/>
      <c r="D44" s="1441"/>
      <c r="E44" s="1441"/>
      <c r="F44" s="1441"/>
      <c r="G44" s="1441"/>
      <c r="H44" s="1441"/>
      <c r="I44" s="20">
        <f>(COUNTIF(H34:H36,"X")+COUNTIF(H24:H25,"X")+COUNTIF(H10:H13,"X"))</f>
        <v>4</v>
      </c>
    </row>
  </sheetData>
  <sheetProtection algorithmName="SHA-512" hashValue="Qan6+AU4exMLn2JKM+6h0l7FPW/EQf/ae/LihI0ArgtNy2s69U2HIGGEN+i3wUfJ78prInB5wY68LEJK9ROK7A==" saltValue="L3WlLhS7BXIB6Qs5eeeiXg==" spinCount="100000" sheet="1" objects="1" scenarios="1"/>
  <protectedRanges>
    <protectedRange algorithmName="SHA-512" hashValue="BtqHuCPp9/6I8fjsXnok58x9LSz0XniUsLLYB1Ey8rYYMKg8sDZfNOOVAsheIbB46uJnJzH8/Z3aTeWZly5bqg==" saltValue="Su+6EsHC5kPW4+UF2XuvLw==" spinCount="100000" sqref="I43:I44 I1:I41" name="anomalie"/>
  </protectedRanges>
  <mergeCells count="26">
    <mergeCell ref="A6:A7"/>
    <mergeCell ref="B6:C7"/>
    <mergeCell ref="G6:H6"/>
    <mergeCell ref="A8:A9"/>
    <mergeCell ref="B8:B9"/>
    <mergeCell ref="C8:C9"/>
    <mergeCell ref="E8:E9"/>
    <mergeCell ref="B21:E22"/>
    <mergeCell ref="G21:H21"/>
    <mergeCell ref="B31:B32"/>
    <mergeCell ref="C31:D32"/>
    <mergeCell ref="E31:F32"/>
    <mergeCell ref="G31:H31"/>
    <mergeCell ref="A44:H44"/>
    <mergeCell ref="C33:D33"/>
    <mergeCell ref="E33:F33"/>
    <mergeCell ref="C34:D34"/>
    <mergeCell ref="E34:F34"/>
    <mergeCell ref="C35:D35"/>
    <mergeCell ref="E35:F35"/>
    <mergeCell ref="C36:D36"/>
    <mergeCell ref="E36:F36"/>
    <mergeCell ref="A41:H41"/>
    <mergeCell ref="A42:H42"/>
    <mergeCell ref="A43:H43"/>
    <mergeCell ref="D40:H40"/>
  </mergeCells>
  <conditionalFormatting sqref="E10:E13">
    <cfRule type="cellIs" dxfId="151" priority="8" operator="greaterThan">
      <formula>2</formula>
    </cfRule>
  </conditionalFormatting>
  <conditionalFormatting sqref="F12">
    <cfRule type="cellIs" dxfId="150" priority="2" operator="greaterThan">
      <formula>1</formula>
    </cfRule>
  </conditionalFormatting>
  <conditionalFormatting sqref="F24:F25">
    <cfRule type="cellIs" dxfId="149" priority="6" operator="greaterThan">
      <formula>10</formula>
    </cfRule>
  </conditionalFormatting>
  <conditionalFormatting sqref="E34:F36">
    <cfRule type="cellIs" dxfId="148" priority="1" operator="notBetween">
      <formula>-8</formula>
      <formula>8</formula>
    </cfRule>
  </conditionalFormatting>
  <printOptions horizontalCentered="1"/>
  <pageMargins left="0.70866141732283472" right="0.70866141732283472" top="0.74803149606299213" bottom="0.74803149606299213" header="0.31496062992125984" footer="0.31496062992125984"/>
  <pageSetup paperSize="120" scale="86" orientation="portrait" r:id="rId1"/>
  <headerFooter>
    <oddFooter>&amp;CPage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5">
    <tabColor theme="3" tint="-0.249977111117893"/>
    <pageSetUpPr fitToPage="1"/>
  </sheetPr>
  <dimension ref="A1:T48"/>
  <sheetViews>
    <sheetView zoomScaleNormal="100" workbookViewId="0">
      <selection activeCell="C22" sqref="C22"/>
    </sheetView>
  </sheetViews>
  <sheetFormatPr baseColWidth="10" defaultColWidth="10.6640625" defaultRowHeight="14.4" x14ac:dyDescent="0.3"/>
  <cols>
    <col min="1" max="2" width="12.6640625" style="50" customWidth="1"/>
    <col min="3" max="3" width="16" style="50" customWidth="1"/>
    <col min="4" max="8" width="12.6640625" style="50" customWidth="1"/>
    <col min="9" max="9" width="6.6640625" style="50" customWidth="1"/>
    <col min="10" max="11" width="6.6640625" style="163" customWidth="1"/>
    <col min="12" max="12" width="28.5546875" style="50" customWidth="1"/>
    <col min="13" max="16384" width="10.6640625" style="50"/>
  </cols>
  <sheetData>
    <row r="1" spans="1:20" x14ac:dyDescent="0.3">
      <c r="A1" s="53" t="s">
        <v>753</v>
      </c>
      <c r="B1" s="54" t="str">
        <f>+Info!C10</f>
        <v>Clinique Ste-Mammo</v>
      </c>
      <c r="C1" s="55"/>
      <c r="D1" s="55"/>
      <c r="E1" s="55"/>
      <c r="F1" s="55"/>
      <c r="G1" s="56" t="s">
        <v>755</v>
      </c>
      <c r="H1" s="55"/>
      <c r="I1" s="108"/>
      <c r="J1" s="57" t="str">
        <f>+Info!C37</f>
        <v>20-01-2020</v>
      </c>
      <c r="K1" s="109"/>
    </row>
    <row r="2" spans="1:20" x14ac:dyDescent="0.3">
      <c r="A2" s="58" t="s">
        <v>754</v>
      </c>
      <c r="B2" s="59" t="str">
        <f>+Info!C21</f>
        <v>Salle 2, Hirad IV</v>
      </c>
      <c r="C2" s="51"/>
      <c r="D2" s="51"/>
      <c r="E2" s="51"/>
      <c r="F2" s="51"/>
      <c r="G2" s="60" t="s">
        <v>756</v>
      </c>
      <c r="H2" s="51"/>
      <c r="I2" s="110"/>
      <c r="J2" s="61" t="str">
        <f>+Info!C35</f>
        <v>Alexandre Toussaint</v>
      </c>
      <c r="K2" s="109"/>
      <c r="Q2" s="1395" t="s">
        <v>642</v>
      </c>
    </row>
    <row r="3" spans="1:20" x14ac:dyDescent="0.3">
      <c r="A3" s="62"/>
      <c r="B3" s="62"/>
      <c r="C3" s="62"/>
      <c r="D3" s="62"/>
      <c r="E3" s="62"/>
      <c r="F3" s="62"/>
      <c r="G3" s="62"/>
      <c r="H3" s="62"/>
      <c r="I3" s="62"/>
      <c r="J3" s="111"/>
      <c r="K3" s="109"/>
      <c r="Q3" s="1395" t="s">
        <v>109</v>
      </c>
    </row>
    <row r="4" spans="1:20" s="115" customFormat="1" ht="13.8" x14ac:dyDescent="0.3">
      <c r="A4" s="112" t="s">
        <v>781</v>
      </c>
      <c r="B4" s="113"/>
      <c r="C4" s="113"/>
      <c r="D4" s="113"/>
      <c r="E4" s="113"/>
      <c r="F4" s="113"/>
      <c r="G4" s="113"/>
      <c r="H4" s="113"/>
      <c r="I4" s="113"/>
      <c r="J4" s="113"/>
      <c r="K4" s="114"/>
      <c r="Q4" s="1396" t="s">
        <v>192</v>
      </c>
    </row>
    <row r="5" spans="1:20" s="115" customFormat="1" ht="13.8" x14ac:dyDescent="0.3">
      <c r="A5" s="116"/>
      <c r="B5" s="113"/>
      <c r="C5" s="113"/>
      <c r="D5" s="113"/>
      <c r="E5" s="113"/>
      <c r="F5" s="113"/>
      <c r="G5" s="113"/>
      <c r="H5" s="113"/>
      <c r="I5" s="113"/>
      <c r="J5" s="113"/>
      <c r="K5" s="114"/>
      <c r="Q5" s="1396" t="s">
        <v>1117</v>
      </c>
    </row>
    <row r="6" spans="1:20" s="122" customFormat="1" x14ac:dyDescent="0.3">
      <c r="A6" s="117" t="s">
        <v>1033</v>
      </c>
      <c r="B6" s="118"/>
      <c r="C6" s="118"/>
      <c r="D6" s="602"/>
      <c r="E6" s="118"/>
      <c r="F6" s="118"/>
      <c r="G6" s="118"/>
      <c r="H6" s="118"/>
      <c r="I6" s="62"/>
      <c r="J6" s="111"/>
      <c r="K6" s="119"/>
      <c r="L6" s="120" t="s">
        <v>646</v>
      </c>
      <c r="M6" s="121"/>
      <c r="N6" s="121"/>
      <c r="O6" s="121"/>
      <c r="Q6" s="1397"/>
      <c r="T6" s="174" t="s">
        <v>200</v>
      </c>
    </row>
    <row r="7" spans="1:20" ht="29.25" customHeight="1" thickBot="1" x14ac:dyDescent="0.35">
      <c r="A7" s="123" t="s">
        <v>640</v>
      </c>
      <c r="B7" s="123"/>
      <c r="C7" s="124" t="s">
        <v>641</v>
      </c>
      <c r="D7" s="124"/>
      <c r="E7" s="123" t="s">
        <v>642</v>
      </c>
      <c r="F7" s="124" t="s">
        <v>643</v>
      </c>
      <c r="G7" s="124"/>
      <c r="H7" s="124" t="s">
        <v>644</v>
      </c>
      <c r="I7" s="1554" t="s">
        <v>15</v>
      </c>
      <c r="J7" s="1555"/>
      <c r="K7" s="109"/>
      <c r="T7" s="771" t="s">
        <v>66</v>
      </c>
    </row>
    <row r="8" spans="1:20" s="122" customFormat="1" ht="15" thickBot="1" x14ac:dyDescent="0.25">
      <c r="A8" s="3" t="s">
        <v>503</v>
      </c>
      <c r="B8" s="107"/>
      <c r="C8" s="106">
        <v>10</v>
      </c>
      <c r="D8" s="107"/>
      <c r="E8" s="503" t="s">
        <v>109</v>
      </c>
      <c r="F8" s="501">
        <v>0</v>
      </c>
      <c r="G8" s="3"/>
      <c r="H8" s="3" t="s">
        <v>67</v>
      </c>
      <c r="I8" s="551" t="s">
        <v>16</v>
      </c>
      <c r="J8" s="551" t="s">
        <v>17</v>
      </c>
      <c r="K8" s="119"/>
      <c r="L8" s="125" t="s">
        <v>68</v>
      </c>
      <c r="M8" s="1556" t="s">
        <v>69</v>
      </c>
      <c r="N8" s="1557"/>
      <c r="O8" s="1557"/>
      <c r="P8" s="1557"/>
      <c r="Q8" s="1557"/>
      <c r="R8" s="1558"/>
      <c r="T8" s="771" t="s">
        <v>123</v>
      </c>
    </row>
    <row r="9" spans="1:20" ht="25.5" customHeight="1" x14ac:dyDescent="0.3">
      <c r="A9" s="123" t="s">
        <v>70</v>
      </c>
      <c r="B9" s="123" t="s">
        <v>71</v>
      </c>
      <c r="C9" s="521" t="s">
        <v>566</v>
      </c>
      <c r="D9" s="522" t="s">
        <v>645</v>
      </c>
      <c r="E9" s="123" t="s">
        <v>73</v>
      </c>
      <c r="F9" s="124" t="s">
        <v>74</v>
      </c>
      <c r="G9" s="124" t="s">
        <v>145</v>
      </c>
      <c r="H9" s="123" t="s">
        <v>65</v>
      </c>
      <c r="I9" s="123"/>
      <c r="J9" s="123"/>
      <c r="K9" s="109"/>
      <c r="L9" s="126" t="s">
        <v>75</v>
      </c>
      <c r="M9" s="1559">
        <v>20</v>
      </c>
      <c r="N9" s="1560"/>
      <c r="O9" s="1559">
        <v>45</v>
      </c>
      <c r="P9" s="1560"/>
      <c r="Q9" s="1559">
        <v>70</v>
      </c>
      <c r="R9" s="1560"/>
      <c r="T9" s="772" t="s">
        <v>912</v>
      </c>
    </row>
    <row r="10" spans="1:20" ht="15" customHeight="1" thickBot="1" x14ac:dyDescent="0.35">
      <c r="A10" s="3"/>
      <c r="B10" s="3"/>
      <c r="C10" s="3" t="s">
        <v>565</v>
      </c>
      <c r="D10" s="503" t="s">
        <v>66</v>
      </c>
      <c r="E10" s="3">
        <v>140</v>
      </c>
      <c r="F10" s="3">
        <v>110</v>
      </c>
      <c r="G10" s="3">
        <v>10</v>
      </c>
      <c r="H10" s="127">
        <f>IF(OR(ISBLANK(E10),ISBLANK(F10),ISBLANK(G10),E10=" ",F10=" ",G10=" "),"",+ABS(E10-F10)/G10)</f>
        <v>3</v>
      </c>
      <c r="I10" s="164"/>
      <c r="J10" s="164"/>
      <c r="K10" s="128"/>
      <c r="L10" s="129" t="s">
        <v>76</v>
      </c>
      <c r="M10" s="1561"/>
      <c r="N10" s="1562"/>
      <c r="O10" s="1561"/>
      <c r="P10" s="1562"/>
      <c r="Q10" s="1561"/>
      <c r="R10" s="1562"/>
      <c r="T10" s="771" t="s">
        <v>124</v>
      </c>
    </row>
    <row r="11" spans="1:20" ht="15" customHeight="1" thickBot="1" x14ac:dyDescent="0.35">
      <c r="A11" s="3"/>
      <c r="B11" s="3"/>
      <c r="C11" s="3" t="s">
        <v>567</v>
      </c>
      <c r="D11" s="503" t="s">
        <v>66</v>
      </c>
      <c r="E11" s="3">
        <v>150</v>
      </c>
      <c r="F11" s="3">
        <v>110</v>
      </c>
      <c r="G11" s="3">
        <v>10</v>
      </c>
      <c r="H11" s="127">
        <f t="shared" ref="H11:H12" si="0">IF(OR(ISBLANK(E11),ISBLANK(F11),ISBLANK(G11),E11=" ",F11=" ",G11=" "),"",+ABS(E11-F11)/G11)</f>
        <v>4</v>
      </c>
      <c r="I11" s="15"/>
      <c r="J11" s="15"/>
      <c r="K11" s="128"/>
      <c r="L11" s="130" t="s">
        <v>77</v>
      </c>
      <c r="M11" s="131" t="s">
        <v>78</v>
      </c>
      <c r="N11" s="131" t="s">
        <v>79</v>
      </c>
      <c r="O11" s="131" t="s">
        <v>78</v>
      </c>
      <c r="P11" s="131" t="s">
        <v>79</v>
      </c>
      <c r="Q11" s="131" t="s">
        <v>78</v>
      </c>
      <c r="R11" s="131" t="s">
        <v>79</v>
      </c>
      <c r="T11" s="771" t="s">
        <v>202</v>
      </c>
    </row>
    <row r="12" spans="1:20" ht="15" customHeight="1" thickTop="1" thickBot="1" x14ac:dyDescent="0.35">
      <c r="A12" s="3"/>
      <c r="B12" s="3"/>
      <c r="C12" s="3" t="s">
        <v>568</v>
      </c>
      <c r="D12" s="503" t="s">
        <v>66</v>
      </c>
      <c r="E12" s="3">
        <v>160</v>
      </c>
      <c r="F12" s="3">
        <v>110</v>
      </c>
      <c r="G12" s="3">
        <v>10</v>
      </c>
      <c r="H12" s="127">
        <f t="shared" si="0"/>
        <v>5</v>
      </c>
      <c r="I12" s="15"/>
      <c r="J12" s="15"/>
      <c r="K12" s="128"/>
      <c r="L12" s="129" t="s">
        <v>80</v>
      </c>
      <c r="M12" s="547">
        <v>13.8</v>
      </c>
      <c r="N12" s="1058">
        <v>20.100000000000001</v>
      </c>
      <c r="O12" s="547">
        <v>12.4</v>
      </c>
      <c r="P12" s="1058">
        <v>18</v>
      </c>
      <c r="Q12" s="547">
        <v>10.8</v>
      </c>
      <c r="R12" s="1058">
        <v>15.8</v>
      </c>
      <c r="T12" s="771" t="s">
        <v>203</v>
      </c>
    </row>
    <row r="13" spans="1:20" s="139" customFormat="1" ht="15" thickBot="1" x14ac:dyDescent="0.25">
      <c r="A13" s="132" t="s">
        <v>886</v>
      </c>
      <c r="B13" s="133"/>
      <c r="C13" s="133"/>
      <c r="D13" s="133"/>
      <c r="E13" s="133"/>
      <c r="F13" s="133"/>
      <c r="G13" s="133"/>
      <c r="H13" s="133"/>
      <c r="I13" s="134"/>
      <c r="J13" s="135"/>
      <c r="K13" s="136"/>
      <c r="L13" s="137" t="s">
        <v>81</v>
      </c>
      <c r="M13" s="138">
        <v>10.199999999999999</v>
      </c>
      <c r="N13" s="1059">
        <v>15</v>
      </c>
      <c r="O13" s="138">
        <v>8.9</v>
      </c>
      <c r="P13" s="1059">
        <v>13</v>
      </c>
      <c r="Q13" s="138">
        <v>8</v>
      </c>
      <c r="R13" s="1059">
        <v>11.7</v>
      </c>
      <c r="T13" s="771" t="s">
        <v>204</v>
      </c>
    </row>
    <row r="14" spans="1:20" ht="15" thickBot="1" x14ac:dyDescent="0.35">
      <c r="A14" s="118"/>
      <c r="B14" s="118"/>
      <c r="C14" s="118"/>
      <c r="D14" s="118"/>
      <c r="E14" s="118"/>
      <c r="F14" s="118"/>
      <c r="G14" s="118"/>
      <c r="H14" s="118"/>
      <c r="I14" s="62"/>
      <c r="J14" s="111"/>
      <c r="K14" s="109"/>
      <c r="L14" s="129" t="s">
        <v>82</v>
      </c>
      <c r="M14" s="547">
        <v>9.8000000000000007</v>
      </c>
      <c r="N14" s="1058">
        <v>14.2</v>
      </c>
      <c r="O14" s="547">
        <v>8.8000000000000007</v>
      </c>
      <c r="P14" s="1058">
        <v>12.8</v>
      </c>
      <c r="Q14" s="547">
        <v>7.7</v>
      </c>
      <c r="R14" s="1058">
        <v>11.2</v>
      </c>
    </row>
    <row r="15" spans="1:20" ht="15" customHeight="1" thickBot="1" x14ac:dyDescent="0.35">
      <c r="A15" s="117" t="s">
        <v>1034</v>
      </c>
      <c r="B15" s="118"/>
      <c r="C15" s="118"/>
      <c r="D15" s="118"/>
      <c r="E15" s="118"/>
      <c r="F15" s="118"/>
      <c r="G15" s="118"/>
      <c r="H15" s="118"/>
      <c r="I15" s="62"/>
      <c r="J15" s="111"/>
      <c r="K15" s="109"/>
      <c r="L15" s="140" t="s">
        <v>84</v>
      </c>
      <c r="M15" s="141">
        <v>6.1</v>
      </c>
      <c r="N15" s="1060">
        <v>8.6999999999999993</v>
      </c>
      <c r="O15" s="141">
        <v>5.5</v>
      </c>
      <c r="P15" s="1060">
        <v>7.8</v>
      </c>
      <c r="Q15" s="141">
        <v>4.8</v>
      </c>
      <c r="R15" s="1060">
        <v>6.8</v>
      </c>
    </row>
    <row r="16" spans="1:20" ht="23.4" thickBot="1" x14ac:dyDescent="0.35">
      <c r="A16" s="1550" t="s">
        <v>566</v>
      </c>
      <c r="B16" s="1551"/>
      <c r="C16" s="124" t="s">
        <v>641</v>
      </c>
      <c r="D16" s="124"/>
      <c r="E16" s="123" t="s">
        <v>642</v>
      </c>
      <c r="F16" s="124" t="s">
        <v>643</v>
      </c>
      <c r="G16" s="124"/>
      <c r="H16" s="124" t="s">
        <v>644</v>
      </c>
      <c r="I16" s="1554" t="s">
        <v>15</v>
      </c>
      <c r="J16" s="1555"/>
      <c r="K16" s="109"/>
      <c r="L16" s="129" t="s">
        <v>86</v>
      </c>
      <c r="M16" s="547">
        <v>8.9</v>
      </c>
      <c r="N16" s="1058">
        <v>12.9</v>
      </c>
      <c r="O16" s="547">
        <v>7.9</v>
      </c>
      <c r="P16" s="1058">
        <v>11.5</v>
      </c>
      <c r="Q16" s="547">
        <v>6.9</v>
      </c>
      <c r="R16" s="1058">
        <v>10</v>
      </c>
    </row>
    <row r="17" spans="1:18" ht="15" thickBot="1" x14ac:dyDescent="0.35">
      <c r="A17" s="1552" t="s">
        <v>1036</v>
      </c>
      <c r="B17" s="1553"/>
      <c r="C17" s="106">
        <v>10</v>
      </c>
      <c r="D17" s="107"/>
      <c r="E17" s="503" t="s">
        <v>1117</v>
      </c>
      <c r="F17" s="501">
        <v>0</v>
      </c>
      <c r="G17" s="3"/>
      <c r="H17" s="3" t="s">
        <v>67</v>
      </c>
      <c r="I17" s="551" t="s">
        <v>16</v>
      </c>
      <c r="J17" s="551" t="s">
        <v>17</v>
      </c>
      <c r="K17" s="109"/>
      <c r="L17" s="140" t="s">
        <v>87</v>
      </c>
      <c r="M17" s="141">
        <v>8.9</v>
      </c>
      <c r="N17" s="1060">
        <v>12.9</v>
      </c>
      <c r="O17" s="141">
        <v>7.9</v>
      </c>
      <c r="P17" s="1060">
        <v>11.5</v>
      </c>
      <c r="Q17" s="141">
        <v>6.9</v>
      </c>
      <c r="R17" s="1060">
        <v>10</v>
      </c>
    </row>
    <row r="18" spans="1:18" ht="24.6" thickBot="1" x14ac:dyDescent="0.35">
      <c r="A18" s="123" t="s">
        <v>70</v>
      </c>
      <c r="B18" s="123" t="s">
        <v>71</v>
      </c>
      <c r="C18" s="123" t="s">
        <v>1035</v>
      </c>
      <c r="D18" s="522" t="s">
        <v>645</v>
      </c>
      <c r="E18" s="123" t="s">
        <v>73</v>
      </c>
      <c r="F18" s="124" t="s">
        <v>74</v>
      </c>
      <c r="G18" s="124" t="s">
        <v>145</v>
      </c>
      <c r="H18" s="123" t="s">
        <v>65</v>
      </c>
      <c r="I18" s="123"/>
      <c r="J18" s="123"/>
      <c r="K18" s="109"/>
      <c r="L18" s="129" t="s">
        <v>88</v>
      </c>
      <c r="M18" s="547">
        <v>12.7</v>
      </c>
      <c r="N18" s="1058">
        <v>18.399999999999999</v>
      </c>
      <c r="O18" s="547">
        <v>11.3</v>
      </c>
      <c r="P18" s="1058">
        <v>16.5</v>
      </c>
      <c r="Q18" s="547">
        <v>9.9</v>
      </c>
      <c r="R18" s="1058">
        <v>14.4</v>
      </c>
    </row>
    <row r="19" spans="1:18" ht="15" customHeight="1" thickBot="1" x14ac:dyDescent="0.35">
      <c r="A19" s="3"/>
      <c r="B19" s="3"/>
      <c r="C19" s="3" t="s">
        <v>305</v>
      </c>
      <c r="D19" s="503" t="s">
        <v>66</v>
      </c>
      <c r="E19" s="3">
        <v>150</v>
      </c>
      <c r="F19" s="3">
        <v>110</v>
      </c>
      <c r="G19" s="3">
        <v>10</v>
      </c>
      <c r="H19" s="127">
        <f>IF(OR(ISBLANK(E19),ISBLANK(F19),ISBLANK(G19),E19=" ",F19=" ",G19=" "),"",+ABS(E19-F19)/G19)</f>
        <v>4</v>
      </c>
      <c r="I19" s="15"/>
      <c r="J19" s="15"/>
      <c r="K19" s="128"/>
      <c r="L19" s="140" t="s">
        <v>89</v>
      </c>
      <c r="M19" s="141">
        <v>4.8</v>
      </c>
      <c r="N19" s="1060">
        <v>7</v>
      </c>
      <c r="O19" s="141">
        <v>4.3</v>
      </c>
      <c r="P19" s="1060">
        <v>6.3</v>
      </c>
      <c r="Q19" s="141">
        <v>3.8</v>
      </c>
      <c r="R19" s="1060">
        <v>5.5</v>
      </c>
    </row>
    <row r="20" spans="1:18" ht="15" customHeight="1" thickBot="1" x14ac:dyDescent="0.35">
      <c r="A20" s="3"/>
      <c r="B20" s="3"/>
      <c r="C20" s="3" t="s">
        <v>305</v>
      </c>
      <c r="D20" s="503" t="s">
        <v>66</v>
      </c>
      <c r="E20" s="3">
        <v>150</v>
      </c>
      <c r="F20" s="3">
        <v>110</v>
      </c>
      <c r="G20" s="3">
        <v>10</v>
      </c>
      <c r="H20" s="127">
        <f t="shared" ref="H20:H29" si="1">IF(OR(ISBLANK(E20),ISBLANK(F20),ISBLANK(G20),E20=" ",F20=" ",G20=" "),"",+ABS(E20-F20)/G20)</f>
        <v>4</v>
      </c>
      <c r="I20" s="15"/>
      <c r="J20" s="15"/>
      <c r="K20" s="128"/>
      <c r="L20" s="129" t="s">
        <v>90</v>
      </c>
      <c r="M20" s="547">
        <v>7.8</v>
      </c>
      <c r="N20" s="1058">
        <v>11.3</v>
      </c>
      <c r="O20" s="547">
        <v>7</v>
      </c>
      <c r="P20" s="1058">
        <v>10.1</v>
      </c>
      <c r="Q20" s="547">
        <v>6.1</v>
      </c>
      <c r="R20" s="1058">
        <v>8.8000000000000007</v>
      </c>
    </row>
    <row r="21" spans="1:18" ht="15" customHeight="1" x14ac:dyDescent="0.3">
      <c r="A21" s="3"/>
      <c r="B21" s="3"/>
      <c r="C21" s="3" t="s">
        <v>305</v>
      </c>
      <c r="D21" s="503" t="s">
        <v>66</v>
      </c>
      <c r="E21" s="3">
        <v>160</v>
      </c>
      <c r="F21" s="3">
        <v>110</v>
      </c>
      <c r="G21" s="3">
        <v>10</v>
      </c>
      <c r="H21" s="127">
        <f t="shared" si="1"/>
        <v>5</v>
      </c>
      <c r="I21" s="15"/>
      <c r="J21" s="15"/>
      <c r="K21" s="128"/>
      <c r="L21" s="142" t="s">
        <v>91</v>
      </c>
      <c r="M21" s="1544">
        <v>9.5</v>
      </c>
      <c r="N21" s="1546">
        <v>13.9</v>
      </c>
      <c r="O21" s="1544">
        <v>8.5</v>
      </c>
      <c r="P21" s="1546">
        <v>12.5</v>
      </c>
      <c r="Q21" s="1544">
        <v>7.5</v>
      </c>
      <c r="R21" s="1546">
        <v>10.9</v>
      </c>
    </row>
    <row r="22" spans="1:18" ht="15" thickBot="1" x14ac:dyDescent="0.35">
      <c r="A22" s="3"/>
      <c r="B22" s="3"/>
      <c r="C22" s="3" t="s">
        <v>305</v>
      </c>
      <c r="D22" s="503" t="s">
        <v>66</v>
      </c>
      <c r="E22" s="3">
        <v>160</v>
      </c>
      <c r="F22" s="3">
        <v>110</v>
      </c>
      <c r="G22" s="3">
        <v>10</v>
      </c>
      <c r="H22" s="127">
        <f t="shared" si="1"/>
        <v>5</v>
      </c>
      <c r="I22" s="15"/>
      <c r="J22" s="15"/>
      <c r="K22" s="109"/>
      <c r="L22" s="140" t="s">
        <v>92</v>
      </c>
      <c r="M22" s="1545"/>
      <c r="N22" s="1547"/>
      <c r="O22" s="1545"/>
      <c r="P22" s="1547"/>
      <c r="Q22" s="1545"/>
      <c r="R22" s="1547"/>
    </row>
    <row r="23" spans="1:18" ht="15" customHeight="1" x14ac:dyDescent="0.3">
      <c r="A23" s="3"/>
      <c r="B23" s="3"/>
      <c r="C23" s="3" t="s">
        <v>305</v>
      </c>
      <c r="D23" s="503" t="s">
        <v>66</v>
      </c>
      <c r="E23" s="3">
        <v>160</v>
      </c>
      <c r="F23" s="3">
        <v>110</v>
      </c>
      <c r="G23" s="3">
        <v>10</v>
      </c>
      <c r="H23" s="127">
        <f t="shared" si="1"/>
        <v>5</v>
      </c>
      <c r="I23" s="15"/>
      <c r="J23" s="15"/>
      <c r="K23" s="109"/>
      <c r="L23" s="126" t="s">
        <v>91</v>
      </c>
      <c r="M23" s="1548">
        <v>11.7</v>
      </c>
      <c r="N23" s="1542">
        <v>17</v>
      </c>
      <c r="O23" s="1548">
        <v>10.199999999999999</v>
      </c>
      <c r="P23" s="1542">
        <v>14.8</v>
      </c>
      <c r="Q23" s="1548">
        <v>9.1</v>
      </c>
      <c r="R23" s="1542">
        <v>13.3</v>
      </c>
    </row>
    <row r="24" spans="1:18" ht="15" thickBot="1" x14ac:dyDescent="0.35">
      <c r="A24" s="3"/>
      <c r="B24" s="3"/>
      <c r="C24" s="3" t="s">
        <v>305</v>
      </c>
      <c r="D24" s="503" t="s">
        <v>66</v>
      </c>
      <c r="E24" s="3">
        <v>160</v>
      </c>
      <c r="F24" s="3">
        <v>110</v>
      </c>
      <c r="G24" s="3">
        <v>10</v>
      </c>
      <c r="H24" s="127">
        <f t="shared" si="1"/>
        <v>5</v>
      </c>
      <c r="I24" s="15"/>
      <c r="J24" s="15"/>
      <c r="K24" s="109"/>
      <c r="L24" s="129" t="s">
        <v>93</v>
      </c>
      <c r="M24" s="1549"/>
      <c r="N24" s="1543"/>
      <c r="O24" s="1549"/>
      <c r="P24" s="1543"/>
      <c r="Q24" s="1549"/>
      <c r="R24" s="1543"/>
    </row>
    <row r="25" spans="1:18" ht="15" thickBot="1" x14ac:dyDescent="0.35">
      <c r="A25" s="3"/>
      <c r="B25" s="3"/>
      <c r="C25" s="3" t="s">
        <v>305</v>
      </c>
      <c r="D25" s="503" t="s">
        <v>66</v>
      </c>
      <c r="E25" s="3">
        <v>160</v>
      </c>
      <c r="F25" s="3">
        <v>110</v>
      </c>
      <c r="G25" s="3">
        <v>10</v>
      </c>
      <c r="H25" s="127">
        <f t="shared" si="1"/>
        <v>5</v>
      </c>
      <c r="I25" s="15"/>
      <c r="J25" s="15"/>
      <c r="K25" s="109"/>
      <c r="L25" s="129" t="s">
        <v>94</v>
      </c>
      <c r="M25" s="547">
        <v>6.3</v>
      </c>
      <c r="N25" s="1058">
        <v>9.1</v>
      </c>
      <c r="O25" s="547">
        <v>5</v>
      </c>
      <c r="P25" s="1058">
        <v>7.2</v>
      </c>
      <c r="Q25" s="547">
        <v>4.3</v>
      </c>
      <c r="R25" s="1058">
        <v>6.2</v>
      </c>
    </row>
    <row r="26" spans="1:18" ht="15" thickBot="1" x14ac:dyDescent="0.35">
      <c r="A26" s="3"/>
      <c r="B26" s="3"/>
      <c r="C26" s="3" t="s">
        <v>305</v>
      </c>
      <c r="D26" s="503" t="s">
        <v>66</v>
      </c>
      <c r="E26" s="3">
        <v>140</v>
      </c>
      <c r="F26" s="3" t="s">
        <v>305</v>
      </c>
      <c r="G26" s="3">
        <v>10</v>
      </c>
      <c r="H26" s="127" t="str">
        <f t="shared" si="1"/>
        <v/>
      </c>
      <c r="I26" s="15"/>
      <c r="J26" s="15"/>
      <c r="K26" s="109"/>
      <c r="L26" s="140" t="s">
        <v>95</v>
      </c>
      <c r="M26" s="141">
        <v>3.6</v>
      </c>
      <c r="N26" s="1060">
        <v>5.3</v>
      </c>
      <c r="O26" s="141">
        <v>3.2</v>
      </c>
      <c r="P26" s="1060">
        <v>4.7</v>
      </c>
      <c r="Q26" s="141">
        <v>2.8</v>
      </c>
      <c r="R26" s="1060">
        <v>4.0999999999999996</v>
      </c>
    </row>
    <row r="27" spans="1:18" ht="15" customHeight="1" thickBot="1" x14ac:dyDescent="0.35">
      <c r="A27" s="3"/>
      <c r="B27" s="3"/>
      <c r="C27" s="3" t="s">
        <v>305</v>
      </c>
      <c r="D27" s="503" t="s">
        <v>66</v>
      </c>
      <c r="E27" s="3">
        <v>160</v>
      </c>
      <c r="F27" s="3">
        <v>110</v>
      </c>
      <c r="G27" s="3">
        <v>9</v>
      </c>
      <c r="H27" s="127">
        <f t="shared" si="1"/>
        <v>5.5555555555555554</v>
      </c>
      <c r="I27" s="15"/>
      <c r="J27" s="15"/>
      <c r="K27" s="128"/>
      <c r="L27" s="129" t="s">
        <v>96</v>
      </c>
      <c r="M27" s="547">
        <v>5.0999999999999996</v>
      </c>
      <c r="N27" s="1058">
        <v>5.3</v>
      </c>
      <c r="O27" s="547">
        <v>3.2</v>
      </c>
      <c r="P27" s="1058">
        <v>4.7</v>
      </c>
      <c r="Q27" s="547">
        <v>2.8</v>
      </c>
      <c r="R27" s="1058">
        <v>4.0999999999999996</v>
      </c>
    </row>
    <row r="28" spans="1:18" ht="15" customHeight="1" thickBot="1" x14ac:dyDescent="0.35">
      <c r="A28" s="3"/>
      <c r="B28" s="3"/>
      <c r="C28" s="3" t="s">
        <v>305</v>
      </c>
      <c r="D28" s="503" t="s">
        <v>66</v>
      </c>
      <c r="E28" s="3">
        <v>160</v>
      </c>
      <c r="F28" s="3">
        <v>110</v>
      </c>
      <c r="G28" s="3">
        <v>10</v>
      </c>
      <c r="H28" s="127">
        <f t="shared" si="1"/>
        <v>5</v>
      </c>
      <c r="I28" s="15"/>
      <c r="J28" s="15"/>
      <c r="K28" s="128"/>
      <c r="L28" s="140" t="s">
        <v>97</v>
      </c>
      <c r="M28" s="141">
        <v>5.0999999999999996</v>
      </c>
      <c r="N28" s="1060">
        <v>7.4</v>
      </c>
      <c r="O28" s="141">
        <v>4.5</v>
      </c>
      <c r="P28" s="1060">
        <v>6.6</v>
      </c>
      <c r="Q28" s="141">
        <v>4</v>
      </c>
      <c r="R28" s="1060">
        <v>5.8</v>
      </c>
    </row>
    <row r="29" spans="1:18" ht="15" customHeight="1" thickBot="1" x14ac:dyDescent="0.35">
      <c r="A29" s="3"/>
      <c r="B29" s="3"/>
      <c r="C29" s="3" t="s">
        <v>305</v>
      </c>
      <c r="D29" s="503" t="s">
        <v>66</v>
      </c>
      <c r="E29" s="3">
        <v>160</v>
      </c>
      <c r="F29" s="3">
        <v>110</v>
      </c>
      <c r="G29" s="3">
        <v>10</v>
      </c>
      <c r="H29" s="127">
        <f t="shared" si="1"/>
        <v>5</v>
      </c>
      <c r="I29" s="15"/>
      <c r="J29" s="15"/>
      <c r="K29" s="128"/>
      <c r="L29" s="129" t="s">
        <v>98</v>
      </c>
      <c r="M29" s="547">
        <v>4.4000000000000004</v>
      </c>
      <c r="N29" s="1058">
        <v>6.3</v>
      </c>
      <c r="O29" s="547">
        <v>3.9</v>
      </c>
      <c r="P29" s="1058">
        <v>5.7</v>
      </c>
      <c r="Q29" s="547">
        <v>3.4</v>
      </c>
      <c r="R29" s="1058">
        <v>5</v>
      </c>
    </row>
    <row r="30" spans="1:18" x14ac:dyDescent="0.3">
      <c r="A30" s="62"/>
      <c r="B30" s="62"/>
      <c r="C30" s="62"/>
      <c r="D30" s="62"/>
      <c r="E30" s="62"/>
      <c r="F30" s="62"/>
      <c r="G30" s="62"/>
      <c r="H30" s="62"/>
      <c r="I30" s="62"/>
      <c r="J30" s="111"/>
      <c r="K30" s="109"/>
    </row>
    <row r="31" spans="1:18" ht="15" customHeight="1" x14ac:dyDescent="0.3">
      <c r="A31" s="117"/>
      <c r="B31" s="118"/>
      <c r="C31" s="118"/>
      <c r="D31" s="118"/>
      <c r="E31" s="118"/>
      <c r="F31" s="118"/>
      <c r="G31" s="118"/>
      <c r="H31" s="118"/>
      <c r="I31" s="62"/>
      <c r="J31" s="111"/>
      <c r="K31" s="109"/>
      <c r="L31" s="1164"/>
    </row>
    <row r="32" spans="1:18" x14ac:dyDescent="0.3">
      <c r="A32" s="62"/>
      <c r="B32" s="62"/>
      <c r="C32" s="62"/>
      <c r="D32" s="62"/>
      <c r="E32" s="62"/>
      <c r="F32" s="62"/>
      <c r="G32" s="62"/>
      <c r="H32" s="62"/>
      <c r="I32" s="62"/>
      <c r="J32" s="111"/>
      <c r="K32" s="109"/>
      <c r="L32" s="1164"/>
    </row>
    <row r="33" spans="1:17" x14ac:dyDescent="0.3">
      <c r="A33" s="143" t="s">
        <v>99</v>
      </c>
      <c r="B33" s="144"/>
      <c r="C33" s="144"/>
      <c r="D33" s="144"/>
      <c r="E33" s="144"/>
      <c r="F33" s="144"/>
      <c r="G33" s="144"/>
      <c r="H33" s="144"/>
      <c r="I33" s="144"/>
      <c r="J33" s="145"/>
      <c r="K33" s="109"/>
    </row>
    <row r="34" spans="1:17" ht="22.8" x14ac:dyDescent="0.3">
      <c r="A34" s="146"/>
      <c r="B34" s="147"/>
      <c r="C34" s="148"/>
      <c r="D34" s="149" t="s">
        <v>70</v>
      </c>
      <c r="E34" s="123" t="s">
        <v>100</v>
      </c>
      <c r="F34" s="124" t="s">
        <v>643</v>
      </c>
      <c r="G34" s="123" t="s">
        <v>71</v>
      </c>
      <c r="H34" s="123" t="s">
        <v>101</v>
      </c>
      <c r="I34" s="1536" t="s">
        <v>102</v>
      </c>
      <c r="J34" s="1523"/>
      <c r="K34" s="109"/>
    </row>
    <row r="35" spans="1:17" ht="15" customHeight="1" x14ac:dyDescent="0.3">
      <c r="A35" s="150"/>
      <c r="B35" s="151"/>
      <c r="C35" s="152"/>
      <c r="D35" s="3">
        <v>30</v>
      </c>
      <c r="E35" s="3">
        <v>45</v>
      </c>
      <c r="F35" s="3">
        <v>-2</v>
      </c>
      <c r="G35" s="3">
        <v>40</v>
      </c>
      <c r="H35" s="153">
        <f>IF(OR(ISBLANK(G35),F35=" "),"",+G35/$G$37)</f>
        <v>0.4</v>
      </c>
      <c r="I35" s="154"/>
      <c r="J35" s="155"/>
      <c r="K35" s="128"/>
      <c r="L35" s="1079" t="s">
        <v>898</v>
      </c>
      <c r="M35" s="1079"/>
      <c r="N35" s="1079"/>
      <c r="O35" s="1079"/>
      <c r="P35" s="1079"/>
      <c r="Q35" s="1079"/>
    </row>
    <row r="36" spans="1:17" ht="15" customHeight="1" x14ac:dyDescent="0.3">
      <c r="A36" s="156"/>
      <c r="B36" s="157"/>
      <c r="C36" s="157"/>
      <c r="D36" s="151"/>
      <c r="E36" s="152"/>
      <c r="F36" s="3">
        <v>-1</v>
      </c>
      <c r="G36" s="3">
        <v>60</v>
      </c>
      <c r="H36" s="153">
        <f t="shared" ref="H36:H39" si="2">IF(OR(ISBLANK(G36),F36=" "),"",+G36/$G$37)</f>
        <v>0.6</v>
      </c>
      <c r="I36" s="156"/>
      <c r="J36" s="158"/>
      <c r="K36" s="128"/>
      <c r="L36" s="1079" t="s">
        <v>584</v>
      </c>
      <c r="M36" s="1079"/>
      <c r="N36" s="1079"/>
      <c r="O36" s="1079"/>
      <c r="P36" s="1079"/>
      <c r="Q36" s="1079"/>
    </row>
    <row r="37" spans="1:17" ht="15" customHeight="1" x14ac:dyDescent="0.3">
      <c r="A37" s="156"/>
      <c r="B37" s="157"/>
      <c r="C37" s="157"/>
      <c r="D37" s="151"/>
      <c r="E37" s="152"/>
      <c r="F37" s="3">
        <v>0</v>
      </c>
      <c r="G37" s="3">
        <v>100</v>
      </c>
      <c r="H37" s="153">
        <f t="shared" si="2"/>
        <v>1</v>
      </c>
      <c r="I37" s="150"/>
      <c r="J37" s="159"/>
      <c r="K37" s="128"/>
    </row>
    <row r="38" spans="1:17" x14ac:dyDescent="0.3">
      <c r="A38" s="150"/>
      <c r="B38" s="151"/>
      <c r="C38" s="151"/>
      <c r="D38" s="151"/>
      <c r="E38" s="152"/>
      <c r="F38" s="3">
        <v>1</v>
      </c>
      <c r="G38" s="3">
        <v>110</v>
      </c>
      <c r="H38" s="153">
        <f t="shared" si="2"/>
        <v>1.1000000000000001</v>
      </c>
      <c r="I38" s="150"/>
      <c r="J38" s="159"/>
      <c r="K38" s="109"/>
    </row>
    <row r="39" spans="1:17" s="115" customFormat="1" ht="13.8" x14ac:dyDescent="0.3">
      <c r="A39" s="150"/>
      <c r="B39" s="151"/>
      <c r="C39" s="151"/>
      <c r="D39" s="151"/>
      <c r="E39" s="151"/>
      <c r="F39" s="3">
        <v>2</v>
      </c>
      <c r="G39" s="3">
        <v>140</v>
      </c>
      <c r="H39" s="153">
        <f t="shared" si="2"/>
        <v>1.4</v>
      </c>
      <c r="I39" s="160"/>
      <c r="J39" s="161"/>
      <c r="K39" s="114"/>
    </row>
    <row r="40" spans="1:17" x14ac:dyDescent="0.3">
      <c r="A40" s="1537"/>
      <c r="B40" s="1538"/>
      <c r="C40" s="1538"/>
      <c r="D40" s="1538"/>
      <c r="E40" s="1538"/>
      <c r="F40" s="1539"/>
      <c r="G40" s="1539"/>
      <c r="H40" s="1540"/>
      <c r="I40" s="15" t="s">
        <v>305</v>
      </c>
      <c r="J40" s="15" t="s">
        <v>305</v>
      </c>
      <c r="K40" s="109"/>
    </row>
    <row r="41" spans="1:17" x14ac:dyDescent="0.3">
      <c r="A41" s="62"/>
      <c r="B41" s="62"/>
      <c r="C41" s="62"/>
      <c r="D41" s="62"/>
      <c r="E41" s="62"/>
      <c r="F41" s="62"/>
      <c r="G41" s="62"/>
      <c r="H41" s="62"/>
      <c r="I41" s="62"/>
      <c r="J41" s="111"/>
      <c r="K41" s="109"/>
    </row>
    <row r="42" spans="1:17" x14ac:dyDescent="0.3">
      <c r="A42" s="881" t="s">
        <v>778</v>
      </c>
      <c r="B42" s="881"/>
      <c r="C42" s="881"/>
      <c r="D42" s="882"/>
      <c r="E42" s="1541"/>
      <c r="F42" s="1541"/>
      <c r="G42" s="1541"/>
      <c r="H42" s="1541"/>
      <c r="I42" s="1541"/>
      <c r="J42" s="1541"/>
      <c r="K42" s="109"/>
    </row>
    <row r="43" spans="1:17" x14ac:dyDescent="0.3">
      <c r="A43" s="1535"/>
      <c r="B43" s="1535"/>
      <c r="C43" s="1535"/>
      <c r="D43" s="1535"/>
      <c r="E43" s="1535"/>
      <c r="F43" s="1535"/>
      <c r="G43" s="1535"/>
      <c r="H43" s="1535"/>
      <c r="I43" s="1535"/>
      <c r="J43" s="1535"/>
      <c r="K43" s="407" t="s">
        <v>490</v>
      </c>
    </row>
    <row r="44" spans="1:17" x14ac:dyDescent="0.3">
      <c r="A44" s="1535"/>
      <c r="B44" s="1535"/>
      <c r="C44" s="1535"/>
      <c r="D44" s="1535"/>
      <c r="E44" s="1535"/>
      <c r="F44" s="1535"/>
      <c r="G44" s="1535"/>
      <c r="H44" s="1535"/>
      <c r="I44" s="1535"/>
      <c r="J44" s="1535"/>
      <c r="K44" s="5">
        <f>COUNTIF(J10:J41,"X")</f>
        <v>0</v>
      </c>
    </row>
    <row r="45" spans="1:17" x14ac:dyDescent="0.3">
      <c r="A45" s="62"/>
      <c r="B45" s="62"/>
      <c r="C45" s="62"/>
      <c r="D45" s="62"/>
      <c r="E45" s="62"/>
      <c r="F45" s="62"/>
      <c r="G45" s="62"/>
      <c r="H45" s="62"/>
      <c r="I45" s="62"/>
      <c r="J45" s="111"/>
      <c r="K45" s="109"/>
      <c r="Q45" s="1075"/>
    </row>
    <row r="46" spans="1:17" x14ac:dyDescent="0.3">
      <c r="A46" s="62"/>
      <c r="B46" s="62"/>
      <c r="C46" s="62"/>
      <c r="D46" s="62"/>
      <c r="E46" s="62"/>
      <c r="F46" s="62"/>
      <c r="G46" s="62"/>
      <c r="H46" s="62"/>
      <c r="I46" s="62"/>
      <c r="J46" s="111"/>
      <c r="K46" s="128"/>
      <c r="Q46" s="1075"/>
    </row>
    <row r="47" spans="1:17" x14ac:dyDescent="0.3">
      <c r="K47" s="109"/>
      <c r="Q47" s="1075"/>
    </row>
    <row r="48" spans="1:17" x14ac:dyDescent="0.3">
      <c r="K48" s="109"/>
    </row>
  </sheetData>
  <sheetProtection algorithmName="SHA-512" hashValue="UtcRWvMH10uBidDRXDKzvGnachLY/DiVLmWYOBZCzFuUJ3LoyB5taKYMmWRn8m9/40adZiONor672nKgXetAVw==" saltValue="vaoILtpz2LmXI9ZKWYqksQ==" spinCount="100000" sheet="1" objects="1" scenarios="1"/>
  <sortState xmlns:xlrd2="http://schemas.microsoft.com/office/spreadsheetml/2017/richdata2" ref="T7:T13">
    <sortCondition ref="T7:T13"/>
  </sortState>
  <mergeCells count="25">
    <mergeCell ref="A16:B16"/>
    <mergeCell ref="A17:B17"/>
    <mergeCell ref="I16:J16"/>
    <mergeCell ref="I7:J7"/>
    <mergeCell ref="M8:R8"/>
    <mergeCell ref="M9:N10"/>
    <mergeCell ref="O9:P10"/>
    <mergeCell ref="Q9:R10"/>
    <mergeCell ref="R23:R24"/>
    <mergeCell ref="M21:M22"/>
    <mergeCell ref="N21:N22"/>
    <mergeCell ref="O21:O22"/>
    <mergeCell ref="P21:P22"/>
    <mergeCell ref="Q21:Q22"/>
    <mergeCell ref="R21:R22"/>
    <mergeCell ref="M23:M24"/>
    <mergeCell ref="N23:N24"/>
    <mergeCell ref="O23:O24"/>
    <mergeCell ref="P23:P24"/>
    <mergeCell ref="Q23:Q24"/>
    <mergeCell ref="A44:J44"/>
    <mergeCell ref="I34:J34"/>
    <mergeCell ref="A40:H40"/>
    <mergeCell ref="A43:J43"/>
    <mergeCell ref="E42:J42"/>
  </mergeCells>
  <dataValidations count="2">
    <dataValidation type="list" allowBlank="1" showInputMessage="1" showErrorMessage="1" sqref="D19:D29 D10:D12" xr:uid="{00000000-0002-0000-0600-000000000000}">
      <formula1>$T$7:$T$13</formula1>
    </dataValidation>
    <dataValidation type="list" allowBlank="1" showInputMessage="1" showErrorMessage="1" sqref="E17 E8" xr:uid="{CFEA56A7-61BC-4505-9607-C972FD61DFBC}">
      <formula1>$Q$3:$Q$6</formula1>
    </dataValidation>
  </dataValidations>
  <printOptions horizontalCentered="1"/>
  <pageMargins left="0.70866141732283472" right="0.70866141732283472" top="0.74803149606299213" bottom="0.74803149606299213" header="0.31496062992125984" footer="0.31496062992125984"/>
  <pageSetup paperSize="120" scale="82" orientation="portrait" r:id="rId1"/>
  <headerFooter>
    <oddFooter>&amp;CPage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46634"/>
    <pageSetUpPr fitToPage="1"/>
  </sheetPr>
  <dimension ref="A1:V71"/>
  <sheetViews>
    <sheetView topLeftCell="A29" zoomScaleNormal="100" workbookViewId="0">
      <selection activeCell="F45" sqref="F45:H45"/>
    </sheetView>
  </sheetViews>
  <sheetFormatPr baseColWidth="10" defaultColWidth="10.6640625" defaultRowHeight="14.4" x14ac:dyDescent="0.3"/>
  <cols>
    <col min="1" max="1" width="12.44140625" style="1075" customWidth="1"/>
    <col min="2" max="2" width="15.6640625" style="1075" customWidth="1"/>
    <col min="3" max="3" width="15.33203125" style="1075" customWidth="1"/>
    <col min="4" max="4" width="14.6640625" style="1075" customWidth="1"/>
    <col min="5" max="5" width="15.44140625" style="1075" customWidth="1"/>
    <col min="6" max="10" width="12.6640625" style="1075" customWidth="1"/>
    <col min="11" max="11" width="6" style="1075" customWidth="1"/>
    <col min="12" max="22" width="10.6640625" style="1075"/>
    <col min="23" max="23" width="14.88671875" style="1075" customWidth="1"/>
    <col min="24" max="16384" width="10.6640625" style="1075"/>
  </cols>
  <sheetData>
    <row r="1" spans="1:19" x14ac:dyDescent="0.3">
      <c r="A1" s="859" t="s">
        <v>753</v>
      </c>
      <c r="B1" s="54" t="str">
        <f>+Info!C10</f>
        <v>Clinique Ste-Mammo</v>
      </c>
      <c r="C1" s="55"/>
      <c r="D1" s="55"/>
      <c r="E1" s="55"/>
      <c r="F1" s="55"/>
      <c r="G1" s="56" t="s">
        <v>755</v>
      </c>
      <c r="H1" s="56"/>
      <c r="I1" s="55"/>
      <c r="J1" s="57" t="str">
        <f>+Info!C37</f>
        <v>20-01-2020</v>
      </c>
      <c r="K1" s="1080"/>
    </row>
    <row r="2" spans="1:19" x14ac:dyDescent="0.3">
      <c r="A2" s="58" t="s">
        <v>754</v>
      </c>
      <c r="B2" s="59" t="str">
        <f>+Info!C21</f>
        <v>Salle 2, Hirad IV</v>
      </c>
      <c r="C2" s="51"/>
      <c r="D2" s="51"/>
      <c r="E2" s="51"/>
      <c r="F2" s="51"/>
      <c r="G2" s="60" t="s">
        <v>756</v>
      </c>
      <c r="H2" s="60"/>
      <c r="I2" s="51"/>
      <c r="J2" s="61" t="str">
        <f>+Info!C35</f>
        <v>Alexandre Toussaint</v>
      </c>
      <c r="K2" s="1080"/>
    </row>
    <row r="3" spans="1:19" x14ac:dyDescent="0.3">
      <c r="A3" s="408"/>
      <c r="B3" s="409"/>
      <c r="C3" s="216"/>
      <c r="D3" s="216"/>
      <c r="E3" s="216"/>
      <c r="F3" s="216"/>
      <c r="G3" s="408"/>
      <c r="H3" s="216"/>
      <c r="I3" s="410"/>
      <c r="J3" s="62"/>
      <c r="K3" s="1080"/>
      <c r="L3" s="1075" t="s">
        <v>103</v>
      </c>
    </row>
    <row r="4" spans="1:19" x14ac:dyDescent="0.3">
      <c r="A4" s="411" t="s">
        <v>783</v>
      </c>
      <c r="B4" s="409"/>
      <c r="C4" s="216"/>
      <c r="D4" s="216"/>
      <c r="E4" s="216"/>
      <c r="F4" s="216"/>
      <c r="G4" s="408"/>
      <c r="H4" s="216"/>
      <c r="I4" s="410"/>
      <c r="J4" s="62"/>
      <c r="K4" s="1080"/>
      <c r="L4" s="1079" t="s">
        <v>104</v>
      </c>
      <c r="M4" s="1079"/>
      <c r="N4" s="1079"/>
      <c r="O4" s="1079"/>
      <c r="P4" s="1079"/>
      <c r="Q4" s="1079"/>
      <c r="R4" s="1079"/>
      <c r="S4" s="1079"/>
    </row>
    <row r="5" spans="1:19" s="115" customFormat="1" x14ac:dyDescent="0.3">
      <c r="A5" s="143"/>
      <c r="B5" s="144"/>
      <c r="C5" s="144"/>
      <c r="D5" s="144"/>
      <c r="E5" s="144"/>
      <c r="F5" s="144"/>
      <c r="G5" s="144"/>
      <c r="H5" s="144"/>
      <c r="I5" s="144"/>
      <c r="J5" s="144"/>
      <c r="K5" s="412"/>
      <c r="L5" s="1079" t="s">
        <v>105</v>
      </c>
      <c r="M5" s="1079"/>
      <c r="N5" s="1079"/>
      <c r="O5" s="1079"/>
      <c r="P5" s="1079"/>
      <c r="Q5" s="1079"/>
      <c r="R5" s="1079"/>
      <c r="S5" s="1079"/>
    </row>
    <row r="6" spans="1:19" ht="22.8" x14ac:dyDescent="0.3">
      <c r="A6" s="413"/>
      <c r="B6" s="123" t="s">
        <v>140</v>
      </c>
      <c r="C6" s="124" t="s">
        <v>641</v>
      </c>
      <c r="D6" s="123" t="s">
        <v>244</v>
      </c>
      <c r="E6" s="123" t="s">
        <v>642</v>
      </c>
      <c r="F6" s="124" t="s">
        <v>643</v>
      </c>
      <c r="G6" s="124" t="s">
        <v>85</v>
      </c>
      <c r="H6" s="181" t="s">
        <v>644</v>
      </c>
      <c r="I6" s="416"/>
      <c r="J6" s="416"/>
      <c r="K6" s="1080"/>
      <c r="L6" s="1079" t="s">
        <v>106</v>
      </c>
      <c r="M6" s="1079"/>
      <c r="N6" s="1079"/>
      <c r="O6" s="1079"/>
      <c r="P6" s="1079"/>
      <c r="Q6" s="1079"/>
      <c r="R6" s="1079"/>
      <c r="S6" s="1079"/>
    </row>
    <row r="7" spans="1:19" x14ac:dyDescent="0.3">
      <c r="A7" s="107"/>
      <c r="B7" s="3" t="s">
        <v>107</v>
      </c>
      <c r="C7" s="3" t="s">
        <v>108</v>
      </c>
      <c r="D7" s="1019" t="s">
        <v>123</v>
      </c>
      <c r="E7" s="3" t="s">
        <v>109</v>
      </c>
      <c r="F7" s="3">
        <v>0</v>
      </c>
      <c r="G7" s="3"/>
      <c r="H7" s="165" t="s">
        <v>67</v>
      </c>
      <c r="I7" s="418"/>
      <c r="J7" s="418"/>
      <c r="K7" s="1080"/>
    </row>
    <row r="8" spans="1:19" ht="18" customHeight="1" x14ac:dyDescent="0.3">
      <c r="A8" s="413"/>
      <c r="B8" s="123" t="s">
        <v>70</v>
      </c>
      <c r="C8" s="124" t="s">
        <v>72</v>
      </c>
      <c r="D8" s="123" t="s">
        <v>71</v>
      </c>
      <c r="E8" s="413"/>
      <c r="F8" s="414"/>
      <c r="G8" s="414"/>
      <c r="H8" s="415"/>
      <c r="I8" s="416"/>
      <c r="J8" s="416"/>
      <c r="K8" s="1080"/>
    </row>
    <row r="9" spans="1:19" x14ac:dyDescent="0.3">
      <c r="A9" s="891"/>
      <c r="B9" s="3">
        <v>30</v>
      </c>
      <c r="C9" s="3">
        <v>45</v>
      </c>
      <c r="D9" s="3">
        <v>100</v>
      </c>
      <c r="E9" s="123"/>
      <c r="F9" s="123"/>
      <c r="G9" s="123"/>
      <c r="H9" s="419"/>
      <c r="I9" s="274"/>
      <c r="J9" s="274"/>
      <c r="K9" s="1080"/>
    </row>
    <row r="10" spans="1:19" x14ac:dyDescent="0.3">
      <c r="A10" s="893"/>
      <c r="B10" s="888" t="s">
        <v>110</v>
      </c>
      <c r="C10" s="123" t="s">
        <v>111</v>
      </c>
      <c r="D10" s="124" t="s">
        <v>112</v>
      </c>
      <c r="E10" s="124" t="s">
        <v>113</v>
      </c>
      <c r="F10" s="1193" t="s">
        <v>115</v>
      </c>
      <c r="G10" s="123" t="s">
        <v>892</v>
      </c>
      <c r="H10" s="1193" t="s">
        <v>114</v>
      </c>
      <c r="I10" s="124" t="s">
        <v>504</v>
      </c>
      <c r="J10" s="1193" t="s">
        <v>539</v>
      </c>
      <c r="K10" s="1080"/>
    </row>
    <row r="11" spans="1:19" x14ac:dyDescent="0.3">
      <c r="A11" s="894" t="s">
        <v>952</v>
      </c>
      <c r="B11" s="889">
        <v>25</v>
      </c>
      <c r="C11" s="166">
        <v>200</v>
      </c>
      <c r="D11" s="166">
        <v>340</v>
      </c>
      <c r="E11" s="167">
        <v>6</v>
      </c>
      <c r="F11" s="169">
        <v>1</v>
      </c>
      <c r="G11" s="420">
        <f>(ABS(C11-D11)/E11)^2</f>
        <v>544.44444444444434</v>
      </c>
      <c r="H11" s="421">
        <f>1/B11</f>
        <v>0.04</v>
      </c>
      <c r="I11" s="1194">
        <f>+E11^2</f>
        <v>36</v>
      </c>
      <c r="J11" s="516">
        <f>LOG(B11)</f>
        <v>1.3979400086720377</v>
      </c>
      <c r="K11" s="1080"/>
      <c r="L11" s="1079" t="s">
        <v>578</v>
      </c>
      <c r="M11" s="1079"/>
      <c r="N11" s="1079"/>
      <c r="O11" s="1079"/>
      <c r="P11" s="1079"/>
      <c r="Q11" s="1079"/>
      <c r="R11" s="1079"/>
      <c r="S11" s="1079"/>
    </row>
    <row r="12" spans="1:19" x14ac:dyDescent="0.3">
      <c r="A12" s="894" t="s">
        <v>116</v>
      </c>
      <c r="B12" s="889">
        <v>50</v>
      </c>
      <c r="C12" s="166">
        <v>500</v>
      </c>
      <c r="D12" s="166">
        <v>750</v>
      </c>
      <c r="E12" s="167">
        <v>11</v>
      </c>
      <c r="F12" s="3">
        <v>2</v>
      </c>
      <c r="G12" s="420">
        <f t="shared" ref="G12:G15" si="0">(ABS(C12-D12)/E12)^2</f>
        <v>516.52892561983469</v>
      </c>
      <c r="H12" s="421">
        <f>1/B12</f>
        <v>0.02</v>
      </c>
      <c r="I12" s="1194">
        <f>+E12^2</f>
        <v>121</v>
      </c>
      <c r="J12" s="516">
        <f t="shared" ref="J12:J15" si="1">LOG(B12)</f>
        <v>1.6989700043360187</v>
      </c>
      <c r="K12" s="1080"/>
      <c r="L12" s="1079" t="s">
        <v>579</v>
      </c>
      <c r="M12" s="1079"/>
      <c r="N12" s="1079"/>
      <c r="O12" s="1079"/>
      <c r="P12" s="1079"/>
      <c r="Q12" s="1079"/>
      <c r="R12" s="1079"/>
      <c r="S12" s="1079"/>
    </row>
    <row r="13" spans="1:19" x14ac:dyDescent="0.3">
      <c r="A13" s="894" t="s">
        <v>117</v>
      </c>
      <c r="B13" s="890">
        <f>D9</f>
        <v>100</v>
      </c>
      <c r="C13" s="166">
        <v>1000</v>
      </c>
      <c r="D13" s="166">
        <v>1300</v>
      </c>
      <c r="E13" s="167">
        <v>14</v>
      </c>
      <c r="F13" s="3">
        <v>3</v>
      </c>
      <c r="G13" s="420">
        <f t="shared" si="0"/>
        <v>459.18367346938771</v>
      </c>
      <c r="H13" s="421">
        <f>1/B13</f>
        <v>0.01</v>
      </c>
      <c r="I13" s="1194">
        <f>+E13^2</f>
        <v>196</v>
      </c>
      <c r="J13" s="516">
        <f t="shared" si="1"/>
        <v>2</v>
      </c>
      <c r="K13" s="1080"/>
    </row>
    <row r="14" spans="1:19" x14ac:dyDescent="0.3">
      <c r="A14" s="894" t="s">
        <v>118</v>
      </c>
      <c r="B14" s="889">
        <v>180</v>
      </c>
      <c r="C14" s="166">
        <v>1800</v>
      </c>
      <c r="D14" s="166">
        <v>2110</v>
      </c>
      <c r="E14" s="167">
        <v>17</v>
      </c>
      <c r="F14" s="3">
        <v>5</v>
      </c>
      <c r="G14" s="420">
        <f t="shared" si="0"/>
        <v>332.52595155709338</v>
      </c>
      <c r="H14" s="421">
        <f>1/B14</f>
        <v>5.5555555555555558E-3</v>
      </c>
      <c r="I14" s="1194">
        <f>+E14^2</f>
        <v>289</v>
      </c>
      <c r="J14" s="516">
        <f t="shared" si="1"/>
        <v>2.255272505103306</v>
      </c>
      <c r="K14" s="1080"/>
    </row>
    <row r="15" spans="1:19" ht="15" thickBot="1" x14ac:dyDescent="0.35">
      <c r="A15" s="895" t="s">
        <v>119</v>
      </c>
      <c r="B15" s="889">
        <v>300</v>
      </c>
      <c r="C15" s="166">
        <v>3000</v>
      </c>
      <c r="D15" s="166">
        <v>3300</v>
      </c>
      <c r="E15" s="168">
        <v>21</v>
      </c>
      <c r="F15" s="168">
        <v>8</v>
      </c>
      <c r="G15" s="420">
        <f t="shared" si="0"/>
        <v>204.08163265306123</v>
      </c>
      <c r="H15" s="423">
        <f>1/B15</f>
        <v>3.3333333333333335E-3</v>
      </c>
      <c r="I15" s="424">
        <f>+E15^2</f>
        <v>441</v>
      </c>
      <c r="J15" s="516">
        <f t="shared" si="1"/>
        <v>2.4771212547196626</v>
      </c>
      <c r="K15" s="1080"/>
    </row>
    <row r="16" spans="1:19" ht="16.5" customHeight="1" thickTop="1" x14ac:dyDescent="0.3">
      <c r="A16" s="892"/>
      <c r="B16" s="425"/>
      <c r="C16" s="1575"/>
      <c r="D16" s="1577"/>
      <c r="E16" s="1579"/>
      <c r="F16" s="1581" t="s">
        <v>648</v>
      </c>
      <c r="G16" s="1577" t="s">
        <v>647</v>
      </c>
      <c r="H16" s="1567">
        <f>INTERCEPT(D11:D15,B11:B15)</f>
        <v>179.38857602574421</v>
      </c>
      <c r="I16" s="1506" t="s">
        <v>15</v>
      </c>
      <c r="J16" s="1555"/>
      <c r="K16" s="1080"/>
    </row>
    <row r="17" spans="1:13" ht="16.5" customHeight="1" x14ac:dyDescent="0.3">
      <c r="A17" s="160"/>
      <c r="B17" s="426"/>
      <c r="C17" s="1576"/>
      <c r="D17" s="1578"/>
      <c r="E17" s="1580"/>
      <c r="F17" s="1582"/>
      <c r="G17" s="1578"/>
      <c r="H17" s="1568"/>
      <c r="I17" s="1201" t="s">
        <v>16</v>
      </c>
      <c r="J17" s="1201" t="s">
        <v>17</v>
      </c>
      <c r="K17" s="1080"/>
    </row>
    <row r="18" spans="1:13" x14ac:dyDescent="0.3">
      <c r="A18" s="504" t="s">
        <v>784</v>
      </c>
      <c r="B18" s="504"/>
      <c r="C18" s="62"/>
      <c r="D18" s="62"/>
      <c r="E18" s="62"/>
      <c r="F18" s="62"/>
      <c r="G18" s="123" t="s">
        <v>505</v>
      </c>
      <c r="H18" s="427">
        <f>IF(D11="","",RSQ(D11:D15,B11:B15))</f>
        <v>0.99643565657988231</v>
      </c>
      <c r="I18" s="422" t="str">
        <f>IF(COUNTIF($D$11:$D$15,""),"",IF(H18&gt;=0.99,"X",""))</f>
        <v>X</v>
      </c>
      <c r="J18" s="422" t="str">
        <f>IF(COUNTIF($D$11:$D$15,""),"",IF(H18&lt;0.99,"X",""))</f>
        <v/>
      </c>
      <c r="K18" s="1078"/>
    </row>
    <row r="19" spans="1:13" ht="14.7" customHeight="1" x14ac:dyDescent="0.3">
      <c r="A19" s="504" t="s">
        <v>1099</v>
      </c>
      <c r="B19" s="62"/>
      <c r="C19" s="62"/>
      <c r="D19" s="62"/>
      <c r="E19" s="62"/>
      <c r="F19" s="62"/>
      <c r="G19" s="123" t="s">
        <v>506</v>
      </c>
      <c r="H19" s="421">
        <f>IF(D11="","",RSQ(I11:I15,B11:B15))</f>
        <v>0.97924575941443937</v>
      </c>
      <c r="I19" s="422" t="str">
        <f t="shared" ref="I19:I20" si="2">IF(COUNTIF($D$11:$D$15,""),"",IF(H19&gt;=0.99,"X",""))</f>
        <v/>
      </c>
      <c r="J19" s="422" t="str">
        <f t="shared" ref="J19:J20" si="3">IF(COUNTIF($D$11:$D$15,""),"",IF(H19&lt;0.99,"X",""))</f>
        <v>X</v>
      </c>
      <c r="K19" s="1078"/>
      <c r="M19" s="174" t="s">
        <v>200</v>
      </c>
    </row>
    <row r="20" spans="1:13" x14ac:dyDescent="0.3">
      <c r="A20" s="62"/>
      <c r="B20" s="62"/>
      <c r="C20" s="62"/>
      <c r="D20" s="62"/>
      <c r="E20" s="62"/>
      <c r="F20" s="62"/>
      <c r="G20" s="123" t="s">
        <v>891</v>
      </c>
      <c r="H20" s="421">
        <f>IF(D11="","",RSQ(G11:G15,B11:B15))</f>
        <v>0.99490971737230338</v>
      </c>
      <c r="I20" s="422" t="str">
        <f t="shared" si="2"/>
        <v>X</v>
      </c>
      <c r="J20" s="422" t="str">
        <f t="shared" si="3"/>
        <v/>
      </c>
      <c r="K20" s="1078"/>
      <c r="M20" s="771" t="s">
        <v>66</v>
      </c>
    </row>
    <row r="21" spans="1:13" x14ac:dyDescent="0.3">
      <c r="A21" s="62"/>
      <c r="B21" s="62"/>
      <c r="C21" s="62"/>
      <c r="D21" s="62"/>
      <c r="E21" s="62"/>
      <c r="F21" s="62"/>
      <c r="G21" s="62"/>
      <c r="H21" s="62"/>
      <c r="I21" s="62"/>
      <c r="J21" s="223"/>
      <c r="K21" s="1080"/>
      <c r="M21" s="771" t="s">
        <v>123</v>
      </c>
    </row>
    <row r="22" spans="1:13" x14ac:dyDescent="0.3">
      <c r="A22" s="62"/>
      <c r="B22" s="62"/>
      <c r="C22" s="62"/>
      <c r="D22" s="62"/>
      <c r="E22" s="62"/>
      <c r="F22" s="62"/>
      <c r="G22" s="62"/>
      <c r="H22" s="62"/>
      <c r="I22" s="62"/>
      <c r="J22" s="223"/>
      <c r="K22" s="1080"/>
      <c r="M22" s="772" t="s">
        <v>912</v>
      </c>
    </row>
    <row r="23" spans="1:13" x14ac:dyDescent="0.3">
      <c r="A23" s="62"/>
      <c r="B23" s="62"/>
      <c r="C23" s="62"/>
      <c r="D23" s="62"/>
      <c r="E23" s="62"/>
      <c r="F23" s="62"/>
      <c r="G23" s="62"/>
      <c r="H23" s="62"/>
      <c r="I23" s="62"/>
      <c r="J23" s="223"/>
      <c r="K23" s="1080"/>
      <c r="M23" s="771" t="s">
        <v>124</v>
      </c>
    </row>
    <row r="24" spans="1:13" x14ac:dyDescent="0.3">
      <c r="A24" s="62"/>
      <c r="B24" s="62"/>
      <c r="C24" s="62"/>
      <c r="D24" s="62"/>
      <c r="E24" s="62"/>
      <c r="F24" s="62"/>
      <c r="G24" s="62"/>
      <c r="H24" s="62"/>
      <c r="I24" s="62"/>
      <c r="J24" s="223"/>
      <c r="K24" s="1080"/>
      <c r="M24" s="771" t="s">
        <v>202</v>
      </c>
    </row>
    <row r="25" spans="1:13" x14ac:dyDescent="0.3">
      <c r="A25" s="62"/>
      <c r="B25" s="62"/>
      <c r="C25" s="62"/>
      <c r="D25" s="62"/>
      <c r="E25" s="62"/>
      <c r="F25" s="62"/>
      <c r="G25" s="62"/>
      <c r="H25" s="62"/>
      <c r="I25" s="62"/>
      <c r="J25" s="223"/>
      <c r="K25" s="1080"/>
      <c r="M25" s="771" t="s">
        <v>203</v>
      </c>
    </row>
    <row r="26" spans="1:13" x14ac:dyDescent="0.3">
      <c r="A26" s="62"/>
      <c r="B26" s="62"/>
      <c r="C26" s="62"/>
      <c r="D26" s="62"/>
      <c r="E26" s="62"/>
      <c r="F26" s="62"/>
      <c r="G26" s="62"/>
      <c r="H26" s="62"/>
      <c r="I26" s="62"/>
      <c r="J26" s="223"/>
      <c r="K26" s="1080"/>
      <c r="M26" s="771" t="s">
        <v>204</v>
      </c>
    </row>
    <row r="27" spans="1:13" x14ac:dyDescent="0.3">
      <c r="A27" s="62"/>
      <c r="B27" s="62"/>
      <c r="C27" s="62"/>
      <c r="D27" s="62"/>
      <c r="E27" s="62"/>
      <c r="F27" s="62"/>
      <c r="G27" s="62"/>
      <c r="H27" s="62"/>
      <c r="I27" s="62"/>
      <c r="J27" s="223"/>
      <c r="K27" s="1080"/>
    </row>
    <row r="28" spans="1:13" x14ac:dyDescent="0.3">
      <c r="A28" s="62"/>
      <c r="B28" s="62"/>
      <c r="C28" s="62"/>
      <c r="D28" s="62"/>
      <c r="E28" s="62"/>
      <c r="F28" s="62"/>
      <c r="G28" s="62"/>
      <c r="H28" s="62"/>
      <c r="I28" s="62"/>
      <c r="J28" s="223"/>
      <c r="K28" s="1080"/>
    </row>
    <row r="29" spans="1:13" x14ac:dyDescent="0.3">
      <c r="A29" s="62"/>
      <c r="B29" s="62"/>
      <c r="C29" s="62"/>
      <c r="D29" s="62"/>
      <c r="E29" s="62"/>
      <c r="F29" s="62"/>
      <c r="G29" s="62"/>
      <c r="H29" s="62"/>
      <c r="I29" s="62"/>
      <c r="J29" s="223"/>
      <c r="K29" s="1080"/>
    </row>
    <row r="30" spans="1:13" x14ac:dyDescent="0.3">
      <c r="A30" s="62"/>
      <c r="B30" s="62"/>
      <c r="C30" s="62"/>
      <c r="D30" s="62"/>
      <c r="E30" s="62"/>
      <c r="F30" s="62"/>
      <c r="G30" s="62"/>
      <c r="H30" s="62"/>
      <c r="I30" s="62"/>
      <c r="J30" s="223"/>
      <c r="K30" s="1080"/>
    </row>
    <row r="31" spans="1:13" x14ac:dyDescent="0.3">
      <c r="A31" s="62"/>
      <c r="B31" s="62"/>
      <c r="C31" s="62"/>
      <c r="D31" s="62"/>
      <c r="E31" s="62"/>
      <c r="F31" s="62"/>
      <c r="G31" s="62"/>
      <c r="H31" s="62"/>
      <c r="I31" s="62"/>
      <c r="J31" s="223"/>
      <c r="K31" s="1080"/>
    </row>
    <row r="32" spans="1:13" x14ac:dyDescent="0.3">
      <c r="A32" s="62"/>
      <c r="B32" s="62"/>
      <c r="C32" s="62"/>
      <c r="D32" s="62"/>
      <c r="E32" s="62"/>
      <c r="F32" s="62"/>
      <c r="G32" s="62"/>
      <c r="H32" s="62"/>
      <c r="I32" s="62"/>
      <c r="J32" s="223"/>
      <c r="K32" s="1080"/>
    </row>
    <row r="33" spans="1:15" x14ac:dyDescent="0.3">
      <c r="A33" s="62"/>
      <c r="B33" s="62"/>
      <c r="C33" s="62"/>
      <c r="D33" s="62"/>
      <c r="E33" s="62"/>
      <c r="F33" s="62"/>
      <c r="K33" s="1080"/>
    </row>
    <row r="34" spans="1:15" x14ac:dyDescent="0.3">
      <c r="A34" s="62" t="s">
        <v>785</v>
      </c>
      <c r="B34" s="62"/>
      <c r="C34" s="62"/>
      <c r="D34" s="428"/>
      <c r="E34" s="428"/>
      <c r="F34" s="62"/>
      <c r="I34" s="1554" t="s">
        <v>15</v>
      </c>
      <c r="J34" s="1555"/>
      <c r="K34" s="1080"/>
    </row>
    <row r="35" spans="1:15" ht="15" x14ac:dyDescent="0.3">
      <c r="A35" s="893"/>
      <c r="B35" s="123" t="s">
        <v>110</v>
      </c>
      <c r="C35" s="123" t="s">
        <v>508</v>
      </c>
      <c r="D35" s="123" t="s">
        <v>509</v>
      </c>
      <c r="E35" s="123" t="s">
        <v>510</v>
      </c>
      <c r="F35" s="123" t="s">
        <v>120</v>
      </c>
      <c r="G35" s="429"/>
      <c r="H35" s="430"/>
      <c r="I35" s="1201" t="s">
        <v>16</v>
      </c>
      <c r="J35" s="1201" t="s">
        <v>17</v>
      </c>
      <c r="K35" s="1080"/>
    </row>
    <row r="36" spans="1:15" x14ac:dyDescent="0.3">
      <c r="A36" s="897" t="s">
        <v>952</v>
      </c>
      <c r="B36" s="896">
        <f>+B11</f>
        <v>25</v>
      </c>
      <c r="C36" s="431">
        <f>+D11-$H$16</f>
        <v>160.61142397425579</v>
      </c>
      <c r="D36" s="432">
        <f>+C36/B11</f>
        <v>6.4244569589702314</v>
      </c>
      <c r="E36" s="1564">
        <f>AVERAGE(D36:D40)</f>
        <v>10.034091356038257</v>
      </c>
      <c r="F36" s="433">
        <f>+ABS((D36-$E$36))/$E$36</f>
        <v>0.3597370473307322</v>
      </c>
      <c r="G36" s="434"/>
      <c r="H36" s="435"/>
      <c r="I36" s="422" t="str">
        <f>IF(COUNTIF($D$11:$D$15,""),"",IF(F36&lt;=0.1,"X",""))</f>
        <v/>
      </c>
      <c r="J36" s="422" t="str">
        <f>IF(COUNTIF($D$11:$D$15,""),"",IF(F36&gt;0.1,"X",""))</f>
        <v>X</v>
      </c>
      <c r="K36" s="1078"/>
    </row>
    <row r="37" spans="1:15" x14ac:dyDescent="0.3">
      <c r="A37" s="894" t="s">
        <v>116</v>
      </c>
      <c r="B37" s="896">
        <f>+B12</f>
        <v>50</v>
      </c>
      <c r="C37" s="431">
        <f>+D12-$H$16</f>
        <v>570.61142397425579</v>
      </c>
      <c r="D37" s="432">
        <f>+C37/B12</f>
        <v>11.412228479485115</v>
      </c>
      <c r="E37" s="1565"/>
      <c r="F37" s="433">
        <f>+ABS((D37-$E$36))/$E$36</f>
        <v>0.13734548296867274</v>
      </c>
      <c r="G37" s="434"/>
      <c r="H37" s="435"/>
      <c r="I37" s="422" t="str">
        <f t="shared" ref="I37:I40" si="4">IF(COUNTIF($D$11:$D$15,""),"",IF(F37&lt;=0.1,"X",""))</f>
        <v/>
      </c>
      <c r="J37" s="422" t="str">
        <f t="shared" ref="J37:J40" si="5">IF(COUNTIF($D$11:$D$15,""),"",IF(F37&gt;0.1,"X",""))</f>
        <v>X</v>
      </c>
      <c r="K37" s="1078"/>
    </row>
    <row r="38" spans="1:15" x14ac:dyDescent="0.3">
      <c r="A38" s="894" t="s">
        <v>117</v>
      </c>
      <c r="B38" s="896">
        <f>+B13</f>
        <v>100</v>
      </c>
      <c r="C38" s="431">
        <f>+D13-$H$16</f>
        <v>1120.6114239742558</v>
      </c>
      <c r="D38" s="432">
        <f>+C38/B13</f>
        <v>11.206114239742558</v>
      </c>
      <c r="E38" s="1565"/>
      <c r="F38" s="433">
        <f>+ABS((D38-$E$36))/$E$36</f>
        <v>0.11680408739741122</v>
      </c>
      <c r="G38" s="434"/>
      <c r="H38" s="435"/>
      <c r="I38" s="422" t="str">
        <f t="shared" si="4"/>
        <v/>
      </c>
      <c r="J38" s="422" t="str">
        <f t="shared" si="5"/>
        <v>X</v>
      </c>
      <c r="K38" s="1078"/>
    </row>
    <row r="39" spans="1:15" x14ac:dyDescent="0.3">
      <c r="A39" s="894" t="s">
        <v>118</v>
      </c>
      <c r="B39" s="896">
        <f>+B14</f>
        <v>180</v>
      </c>
      <c r="C39" s="431">
        <f>+D14-$H$16</f>
        <v>1930.6114239742558</v>
      </c>
      <c r="D39" s="432">
        <f>+C39/B14</f>
        <v>10.725619022079199</v>
      </c>
      <c r="E39" s="1565"/>
      <c r="F39" s="433">
        <f>+ABS((D39-$E$36))/$E$36</f>
        <v>6.8917816422390726E-2</v>
      </c>
      <c r="G39" s="434"/>
      <c r="H39" s="435"/>
      <c r="I39" s="422" t="str">
        <f t="shared" si="4"/>
        <v>X</v>
      </c>
      <c r="J39" s="422" t="str">
        <f t="shared" si="5"/>
        <v/>
      </c>
      <c r="K39" s="1078"/>
    </row>
    <row r="40" spans="1:15" x14ac:dyDescent="0.3">
      <c r="A40" s="895" t="s">
        <v>119</v>
      </c>
      <c r="B40" s="896">
        <f>+B15</f>
        <v>300</v>
      </c>
      <c r="C40" s="431">
        <f>+D15-$H$16</f>
        <v>3120.6114239742556</v>
      </c>
      <c r="D40" s="432">
        <f>+C40/B15</f>
        <v>10.402038079914185</v>
      </c>
      <c r="E40" s="1566"/>
      <c r="F40" s="433">
        <f>+ABS((D40-$E$36))/$E$36</f>
        <v>3.6669660542257981E-2</v>
      </c>
      <c r="G40" s="436"/>
      <c r="H40" s="437"/>
      <c r="I40" s="422" t="str">
        <f t="shared" si="4"/>
        <v>X</v>
      </c>
      <c r="J40" s="422" t="str">
        <f t="shared" si="5"/>
        <v/>
      </c>
      <c r="K40" s="1078"/>
      <c r="L40" s="914"/>
    </row>
    <row r="41" spans="1:15" x14ac:dyDescent="0.3">
      <c r="A41" s="504" t="s">
        <v>784</v>
      </c>
      <c r="B41" s="504" t="s">
        <v>786</v>
      </c>
      <c r="C41" s="62"/>
      <c r="D41" s="428"/>
      <c r="E41" s="428"/>
      <c r="F41" s="62"/>
      <c r="K41" s="1080"/>
      <c r="L41" s="914"/>
    </row>
    <row r="42" spans="1:15" ht="14.7" customHeight="1" x14ac:dyDescent="0.3">
      <c r="B42" s="62"/>
      <c r="C42" s="62"/>
      <c r="D42" s="428"/>
      <c r="E42" s="428"/>
      <c r="F42" s="62"/>
      <c r="K42" s="1080"/>
      <c r="L42" s="914"/>
    </row>
    <row r="43" spans="1:15" x14ac:dyDescent="0.3">
      <c r="A43" s="62" t="s">
        <v>521</v>
      </c>
      <c r="B43" s="62"/>
      <c r="C43" s="62"/>
      <c r="D43" s="1213" t="str">
        <f>Info!F37</f>
        <v>20-07-2019</v>
      </c>
      <c r="E43" s="428"/>
      <c r="F43" s="62"/>
      <c r="I43" s="1554" t="s">
        <v>15</v>
      </c>
      <c r="J43" s="1555"/>
      <c r="K43" s="1080"/>
      <c r="M43" s="1164" t="s">
        <v>1185</v>
      </c>
    </row>
    <row r="44" spans="1:15" ht="15" x14ac:dyDescent="0.35">
      <c r="A44" s="897" t="s">
        <v>508</v>
      </c>
      <c r="B44" s="123" t="s">
        <v>110</v>
      </c>
      <c r="C44" s="123" t="s">
        <v>511</v>
      </c>
      <c r="D44" s="123" t="s">
        <v>512</v>
      </c>
      <c r="E44" s="1429" t="s">
        <v>120</v>
      </c>
      <c r="F44" s="1572" t="s">
        <v>1180</v>
      </c>
      <c r="G44" s="1573"/>
      <c r="H44" s="1574"/>
      <c r="I44" s="1432" t="s">
        <v>16</v>
      </c>
      <c r="J44" s="1201" t="s">
        <v>17</v>
      </c>
      <c r="K44" s="1080"/>
      <c r="L44" s="1075" t="s">
        <v>305</v>
      </c>
      <c r="N44" s="163"/>
      <c r="O44" s="163"/>
    </row>
    <row r="45" spans="1:15" x14ac:dyDescent="0.3">
      <c r="A45" s="897" t="s">
        <v>952</v>
      </c>
      <c r="B45" s="896">
        <f>+B36</f>
        <v>25</v>
      </c>
      <c r="C45" s="438">
        <f>+C36</f>
        <v>160.61142397425579</v>
      </c>
      <c r="D45" s="170">
        <v>170</v>
      </c>
      <c r="E45" s="1430">
        <f>IF(COUNTIF(D45,"")=1,"",ABS(C45-D45)/C45)</f>
        <v>5.8455219394911148E-2</v>
      </c>
      <c r="F45" s="1569"/>
      <c r="G45" s="1570"/>
      <c r="H45" s="1571"/>
      <c r="I45" s="1433" t="str">
        <f>IF($F$44="Comparaison non applicable","",IF(COUNTIF($D$11:$D$15,""),"",IF(E45&lt;=0.1,"X","")))</f>
        <v>X</v>
      </c>
      <c r="J45" s="422" t="str">
        <f>IF($F$44="Comparaison non applicable","",IF(COUNTIF($D$11:$D$15,""),"",IF(E45&gt;0.1,"X","")))</f>
        <v/>
      </c>
      <c r="K45" s="1078"/>
      <c r="M45" s="396" t="s">
        <v>1180</v>
      </c>
      <c r="N45" s="404"/>
      <c r="O45" s="404"/>
    </row>
    <row r="46" spans="1:15" x14ac:dyDescent="0.3">
      <c r="A46" s="894" t="s">
        <v>116</v>
      </c>
      <c r="B46" s="896">
        <f t="shared" ref="B46:C49" si="6">+B37</f>
        <v>50</v>
      </c>
      <c r="C46" s="438">
        <f t="shared" si="6"/>
        <v>570.61142397425579</v>
      </c>
      <c r="D46" s="170">
        <v>600</v>
      </c>
      <c r="E46" s="1430">
        <f t="shared" ref="E46:E49" si="7">IF(COUNTIF(D46,"")=1,"",ABS(C46-D46)/C46)</f>
        <v>5.1503658691330612E-2</v>
      </c>
      <c r="F46" s="1434"/>
      <c r="G46" s="440"/>
      <c r="H46" s="1006"/>
      <c r="I46" s="1433" t="str">
        <f t="shared" ref="I46:I49" si="8">IF($F$44="Comparaison non applicable","",IF(COUNTIF($D$11:$D$15,""),"",IF(E46&lt;=0.1,"X","")))</f>
        <v>X</v>
      </c>
      <c r="J46" s="422" t="str">
        <f t="shared" ref="J46:J49" si="9">IF($F$44="Comparaison non applicable","",IF(COUNTIF($D$11:$D$15,""),"",IF(E46&gt;0.1,"X","")))</f>
        <v/>
      </c>
      <c r="K46" s="1078"/>
      <c r="M46" s="396" t="s">
        <v>1184</v>
      </c>
      <c r="N46" s="404"/>
      <c r="O46" s="404"/>
    </row>
    <row r="47" spans="1:15" x14ac:dyDescent="0.3">
      <c r="A47" s="894" t="s">
        <v>117</v>
      </c>
      <c r="B47" s="896">
        <f t="shared" si="6"/>
        <v>100</v>
      </c>
      <c r="C47" s="438">
        <f t="shared" si="6"/>
        <v>1120.6114239742558</v>
      </c>
      <c r="D47" s="170">
        <v>1000</v>
      </c>
      <c r="E47" s="1430">
        <f t="shared" si="7"/>
        <v>0.10763001464549288</v>
      </c>
      <c r="F47" s="1434"/>
      <c r="G47" s="440"/>
      <c r="H47" s="1006"/>
      <c r="I47" s="1433" t="str">
        <f t="shared" si="8"/>
        <v/>
      </c>
      <c r="J47" s="422" t="str">
        <f t="shared" si="9"/>
        <v>X</v>
      </c>
      <c r="K47" s="1078"/>
      <c r="N47" s="163"/>
      <c r="O47" s="163"/>
    </row>
    <row r="48" spans="1:15" x14ac:dyDescent="0.3">
      <c r="A48" s="894" t="s">
        <v>118</v>
      </c>
      <c r="B48" s="896">
        <f t="shared" si="6"/>
        <v>180</v>
      </c>
      <c r="C48" s="438">
        <f t="shared" si="6"/>
        <v>1930.6114239742558</v>
      </c>
      <c r="D48" s="170">
        <v>2010</v>
      </c>
      <c r="E48" s="1430">
        <f t="shared" si="7"/>
        <v>4.112095009896867E-2</v>
      </c>
      <c r="F48" s="1434"/>
      <c r="G48" s="440"/>
      <c r="H48" s="1006"/>
      <c r="I48" s="1433" t="str">
        <f t="shared" si="8"/>
        <v>X</v>
      </c>
      <c r="J48" s="422" t="str">
        <f t="shared" si="9"/>
        <v/>
      </c>
      <c r="K48" s="1078"/>
      <c r="N48" s="163"/>
      <c r="O48" s="163"/>
    </row>
    <row r="49" spans="1:22" x14ac:dyDescent="0.3">
      <c r="A49" s="895" t="s">
        <v>119</v>
      </c>
      <c r="B49" s="896">
        <f t="shared" si="6"/>
        <v>300</v>
      </c>
      <c r="C49" s="438">
        <f t="shared" si="6"/>
        <v>3120.6114239742556</v>
      </c>
      <c r="D49" s="170">
        <v>3000</v>
      </c>
      <c r="E49" s="1430">
        <f t="shared" si="7"/>
        <v>3.8649933486640524E-2</v>
      </c>
      <c r="F49" s="1435"/>
      <c r="G49" s="1255"/>
      <c r="H49" s="1256"/>
      <c r="I49" s="1433" t="str">
        <f t="shared" si="8"/>
        <v>X</v>
      </c>
      <c r="J49" s="422" t="str">
        <f t="shared" si="9"/>
        <v/>
      </c>
      <c r="K49" s="1078"/>
      <c r="N49" s="163"/>
      <c r="O49" s="163"/>
    </row>
    <row r="50" spans="1:22" x14ac:dyDescent="0.3">
      <c r="A50" s="441" t="s">
        <v>784</v>
      </c>
      <c r="B50" s="504" t="s">
        <v>787</v>
      </c>
      <c r="C50" s="442"/>
      <c r="D50" s="443"/>
      <c r="E50" s="444"/>
      <c r="F50" s="62"/>
      <c r="I50" s="417"/>
      <c r="J50" s="445"/>
      <c r="K50" s="1080"/>
      <c r="M50" s="396" t="s">
        <v>1181</v>
      </c>
      <c r="N50" s="404"/>
      <c r="O50" s="404"/>
    </row>
    <row r="51" spans="1:22" ht="14.7" customHeight="1" x14ac:dyDescent="0.3">
      <c r="B51" s="62"/>
      <c r="C51" s="62"/>
      <c r="D51" s="428"/>
      <c r="E51" s="428"/>
      <c r="F51" s="62"/>
      <c r="I51" s="1554" t="s">
        <v>15</v>
      </c>
      <c r="J51" s="1555"/>
      <c r="K51" s="1080"/>
      <c r="M51" s="396" t="s">
        <v>1182</v>
      </c>
      <c r="N51" s="404"/>
      <c r="O51" s="404"/>
    </row>
    <row r="52" spans="1:22" ht="15" x14ac:dyDescent="0.3">
      <c r="A52" s="897" t="s">
        <v>121</v>
      </c>
      <c r="B52" s="123" t="s">
        <v>110</v>
      </c>
      <c r="C52" s="123" t="s">
        <v>513</v>
      </c>
      <c r="D52" s="123" t="s">
        <v>514</v>
      </c>
      <c r="E52" s="123" t="s">
        <v>120</v>
      </c>
      <c r="F52" s="1436"/>
      <c r="G52" s="1437"/>
      <c r="H52" s="1431"/>
      <c r="I52" s="1201" t="s">
        <v>16</v>
      </c>
      <c r="J52" s="1201" t="s">
        <v>17</v>
      </c>
      <c r="K52" s="1080"/>
      <c r="M52" s="396" t="s">
        <v>1195</v>
      </c>
      <c r="N52" s="404"/>
      <c r="O52" s="404"/>
    </row>
    <row r="53" spans="1:22" ht="16.5" customHeight="1" x14ac:dyDescent="0.3">
      <c r="A53" s="897" t="s">
        <v>952</v>
      </c>
      <c r="B53" s="896">
        <f>B36</f>
        <v>25</v>
      </c>
      <c r="C53" s="431">
        <f>E11</f>
        <v>6</v>
      </c>
      <c r="D53" s="171">
        <v>6.5</v>
      </c>
      <c r="E53" s="439">
        <f>IF(COUNTIF(D53,"")=1,"",ABS(C53-D53)/C53)</f>
        <v>8.3333333333333329E-2</v>
      </c>
      <c r="F53" s="892"/>
      <c r="G53" s="440"/>
      <c r="H53" s="1006"/>
      <c r="I53" s="1433" t="str">
        <f t="shared" ref="I53:I57" si="10">IF($F$44="Comparaison non applicable","",IF(COUNTIF($D$11:$D$15,""),"",IF(E53&lt;=0.1,"X","")))</f>
        <v>X</v>
      </c>
      <c r="J53" s="422" t="str">
        <f t="shared" ref="J53:J57" si="11">IF($F$44="Comparaison non applicable","",IF(COUNTIF($D$11:$D$15,""),"",IF(E53&gt;0.1,"X","")))</f>
        <v/>
      </c>
      <c r="K53" s="1078"/>
      <c r="M53" s="396" t="s">
        <v>1183</v>
      </c>
      <c r="N53" s="404"/>
      <c r="O53" s="404"/>
    </row>
    <row r="54" spans="1:22" x14ac:dyDescent="0.3">
      <c r="A54" s="894" t="s">
        <v>116</v>
      </c>
      <c r="B54" s="896">
        <f>B37</f>
        <v>50</v>
      </c>
      <c r="C54" s="431">
        <f>E12</f>
        <v>11</v>
      </c>
      <c r="D54" s="171">
        <v>13</v>
      </c>
      <c r="E54" s="439">
        <f t="shared" ref="E54:E57" si="12">IF(COUNTIF(D54,"")=1,"",ABS(C54-D54)/C54)</f>
        <v>0.18181818181818182</v>
      </c>
      <c r="F54" s="892"/>
      <c r="G54" s="440"/>
      <c r="H54" s="1006"/>
      <c r="I54" s="1433" t="str">
        <f t="shared" si="10"/>
        <v/>
      </c>
      <c r="J54" s="422" t="str">
        <f t="shared" si="11"/>
        <v>X</v>
      </c>
      <c r="K54" s="1078"/>
    </row>
    <row r="55" spans="1:22" x14ac:dyDescent="0.3">
      <c r="A55" s="894" t="s">
        <v>117</v>
      </c>
      <c r="B55" s="896">
        <f>B38</f>
        <v>100</v>
      </c>
      <c r="C55" s="431">
        <f>E13</f>
        <v>14</v>
      </c>
      <c r="D55" s="171">
        <v>14.5</v>
      </c>
      <c r="E55" s="439">
        <f t="shared" si="12"/>
        <v>3.5714285714285712E-2</v>
      </c>
      <c r="F55" s="892"/>
      <c r="G55" s="440"/>
      <c r="H55" s="1006"/>
      <c r="I55" s="1433" t="str">
        <f t="shared" si="10"/>
        <v>X</v>
      </c>
      <c r="J55" s="422" t="str">
        <f t="shared" si="11"/>
        <v/>
      </c>
      <c r="K55" s="1078"/>
    </row>
    <row r="56" spans="1:22" x14ac:dyDescent="0.3">
      <c r="A56" s="894" t="s">
        <v>118</v>
      </c>
      <c r="B56" s="896">
        <f>B39</f>
        <v>180</v>
      </c>
      <c r="C56" s="431">
        <f>E14</f>
        <v>17</v>
      </c>
      <c r="D56" s="171">
        <v>8</v>
      </c>
      <c r="E56" s="439">
        <f t="shared" si="12"/>
        <v>0.52941176470588236</v>
      </c>
      <c r="F56" s="892"/>
      <c r="G56" s="440"/>
      <c r="H56" s="1006"/>
      <c r="I56" s="1433" t="str">
        <f t="shared" si="10"/>
        <v/>
      </c>
      <c r="J56" s="422" t="str">
        <f t="shared" si="11"/>
        <v>X</v>
      </c>
      <c r="K56" s="1078"/>
    </row>
    <row r="57" spans="1:22" x14ac:dyDescent="0.3">
      <c r="A57" s="895" t="s">
        <v>119</v>
      </c>
      <c r="B57" s="896">
        <f>B40</f>
        <v>300</v>
      </c>
      <c r="C57" s="431">
        <f>E15</f>
        <v>21</v>
      </c>
      <c r="D57" s="171">
        <v>5.5</v>
      </c>
      <c r="E57" s="439">
        <f t="shared" si="12"/>
        <v>0.73809523809523814</v>
      </c>
      <c r="F57" s="1244"/>
      <c r="G57" s="1255"/>
      <c r="H57" s="1256"/>
      <c r="I57" s="1433" t="str">
        <f t="shared" si="10"/>
        <v/>
      </c>
      <c r="J57" s="422" t="str">
        <f t="shared" si="11"/>
        <v>X</v>
      </c>
      <c r="K57" s="1078"/>
    </row>
    <row r="58" spans="1:22" x14ac:dyDescent="0.3">
      <c r="A58" s="441" t="s">
        <v>784</v>
      </c>
      <c r="B58" s="504" t="s">
        <v>787</v>
      </c>
      <c r="C58" s="442"/>
      <c r="D58" s="443"/>
      <c r="E58" s="446"/>
      <c r="F58" s="62"/>
      <c r="I58" s="417"/>
      <c r="J58" s="445"/>
      <c r="K58" s="1080"/>
    </row>
    <row r="59" spans="1:22" x14ac:dyDescent="0.3">
      <c r="B59" s="62"/>
      <c r="C59" s="62"/>
      <c r="D59" s="428"/>
      <c r="E59" s="428"/>
      <c r="F59" s="62"/>
      <c r="I59" s="1554" t="s">
        <v>15</v>
      </c>
      <c r="J59" s="1555"/>
      <c r="K59" s="1080"/>
    </row>
    <row r="60" spans="1:22" ht="15" x14ac:dyDescent="0.3">
      <c r="A60" s="897" t="s">
        <v>65</v>
      </c>
      <c r="B60" s="123" t="s">
        <v>110</v>
      </c>
      <c r="C60" s="123" t="s">
        <v>515</v>
      </c>
      <c r="D60" s="123" t="s">
        <v>516</v>
      </c>
      <c r="E60" s="123" t="s">
        <v>120</v>
      </c>
      <c r="F60" s="1436"/>
      <c r="G60" s="1437"/>
      <c r="H60" s="1431"/>
      <c r="I60" s="1201" t="s">
        <v>16</v>
      </c>
      <c r="J60" s="1201" t="s">
        <v>17</v>
      </c>
      <c r="K60" s="1080"/>
      <c r="V60" s="913"/>
    </row>
    <row r="61" spans="1:22" x14ac:dyDescent="0.3">
      <c r="A61" s="897" t="s">
        <v>952</v>
      </c>
      <c r="B61" s="896">
        <f>B36</f>
        <v>25</v>
      </c>
      <c r="C61" s="431">
        <f>ABS(C11-D11)/E11</f>
        <v>23.333333333333332</v>
      </c>
      <c r="D61" s="171">
        <v>23</v>
      </c>
      <c r="E61" s="439">
        <f t="shared" ref="E61:E65" si="13">IF(COUNTIF(D61,"")=1,"",ABS(C61-D61)/C61)</f>
        <v>1.4285714285714235E-2</v>
      </c>
      <c r="F61" s="892"/>
      <c r="G61" s="440"/>
      <c r="H61" s="1006"/>
      <c r="I61" s="1433" t="str">
        <f t="shared" ref="I61:I65" si="14">IF($F$44="Comparaison non applicable","",IF(COUNTIF($D$11:$D$15,""),"",IF(E61&lt;=0.1,"X","")))</f>
        <v>X</v>
      </c>
      <c r="J61" s="422" t="str">
        <f t="shared" ref="J61:J65" si="15">IF($F$44="Comparaison non applicable","",IF(COUNTIF($D$11:$D$15,""),"",IF(E61&gt;0.1,"X","")))</f>
        <v/>
      </c>
      <c r="K61" s="1078"/>
    </row>
    <row r="62" spans="1:22" x14ac:dyDescent="0.3">
      <c r="A62" s="894" t="s">
        <v>116</v>
      </c>
      <c r="B62" s="896">
        <f>B37</f>
        <v>50</v>
      </c>
      <c r="C62" s="431">
        <f t="shared" ref="C62:C65" si="16">ABS(C12-D12)/E12</f>
        <v>22.727272727272727</v>
      </c>
      <c r="D62" s="171">
        <v>27</v>
      </c>
      <c r="E62" s="439">
        <f t="shared" si="13"/>
        <v>0.18800000000000003</v>
      </c>
      <c r="F62" s="892"/>
      <c r="G62" s="440"/>
      <c r="H62" s="1006"/>
      <c r="I62" s="1433" t="str">
        <f t="shared" si="14"/>
        <v/>
      </c>
      <c r="J62" s="422" t="str">
        <f t="shared" si="15"/>
        <v>X</v>
      </c>
      <c r="K62" s="1078"/>
    </row>
    <row r="63" spans="1:22" x14ac:dyDescent="0.3">
      <c r="A63" s="894" t="s">
        <v>117</v>
      </c>
      <c r="B63" s="896">
        <f>B38</f>
        <v>100</v>
      </c>
      <c r="C63" s="431">
        <f t="shared" si="16"/>
        <v>21.428571428571427</v>
      </c>
      <c r="D63" s="171">
        <v>23</v>
      </c>
      <c r="E63" s="439">
        <f t="shared" si="13"/>
        <v>7.3333333333333403E-2</v>
      </c>
      <c r="F63" s="892"/>
      <c r="G63" s="440"/>
      <c r="H63" s="1006"/>
      <c r="I63" s="1433" t="str">
        <f t="shared" si="14"/>
        <v>X</v>
      </c>
      <c r="J63" s="422" t="str">
        <f t="shared" si="15"/>
        <v/>
      </c>
      <c r="K63" s="1078"/>
    </row>
    <row r="64" spans="1:22" x14ac:dyDescent="0.3">
      <c r="A64" s="894" t="s">
        <v>118</v>
      </c>
      <c r="B64" s="896">
        <f>B39</f>
        <v>180</v>
      </c>
      <c r="C64" s="431">
        <f t="shared" si="16"/>
        <v>18.235294117647058</v>
      </c>
      <c r="D64" s="171">
        <v>7</v>
      </c>
      <c r="E64" s="439">
        <f t="shared" si="13"/>
        <v>0.61612903225806448</v>
      </c>
      <c r="F64" s="892"/>
      <c r="G64" s="440"/>
      <c r="H64" s="1006"/>
      <c r="I64" s="1433" t="str">
        <f t="shared" si="14"/>
        <v/>
      </c>
      <c r="J64" s="422" t="str">
        <f t="shared" si="15"/>
        <v>X</v>
      </c>
      <c r="K64" s="1078"/>
    </row>
    <row r="65" spans="1:11" x14ac:dyDescent="0.3">
      <c r="A65" s="895" t="s">
        <v>119</v>
      </c>
      <c r="B65" s="896">
        <f>B40</f>
        <v>300</v>
      </c>
      <c r="C65" s="431">
        <f t="shared" si="16"/>
        <v>14.285714285714286</v>
      </c>
      <c r="D65" s="171">
        <v>35</v>
      </c>
      <c r="E65" s="439">
        <f t="shared" si="13"/>
        <v>1.45</v>
      </c>
      <c r="F65" s="1244"/>
      <c r="G65" s="1255"/>
      <c r="H65" s="1256"/>
      <c r="I65" s="1433" t="str">
        <f t="shared" si="14"/>
        <v/>
      </c>
      <c r="J65" s="422" t="str">
        <f t="shared" si="15"/>
        <v>X</v>
      </c>
      <c r="K65" s="1078"/>
    </row>
    <row r="66" spans="1:11" x14ac:dyDescent="0.3">
      <c r="A66" s="441" t="s">
        <v>784</v>
      </c>
      <c r="B66" s="441" t="s">
        <v>787</v>
      </c>
      <c r="C66" s="442"/>
      <c r="D66" s="443"/>
      <c r="E66" s="428"/>
      <c r="F66" s="62"/>
      <c r="K66" s="1080"/>
    </row>
    <row r="67" spans="1:11" x14ac:dyDescent="0.3">
      <c r="B67" s="441"/>
      <c r="C67" s="442"/>
      <c r="D67" s="443"/>
      <c r="E67" s="428"/>
      <c r="F67" s="62"/>
      <c r="K67" s="1080"/>
    </row>
    <row r="68" spans="1:11" x14ac:dyDescent="0.3">
      <c r="A68" s="62"/>
      <c r="B68" s="62"/>
      <c r="C68" s="62"/>
      <c r="D68" s="428"/>
      <c r="E68" s="428"/>
      <c r="F68" s="62"/>
      <c r="K68" s="1080"/>
    </row>
    <row r="69" spans="1:11" x14ac:dyDescent="0.3">
      <c r="A69" s="1159" t="s">
        <v>887</v>
      </c>
      <c r="B69" s="1159"/>
      <c r="C69" s="1159"/>
      <c r="D69" s="882"/>
      <c r="E69" s="1541"/>
      <c r="F69" s="1541"/>
      <c r="G69" s="1541"/>
      <c r="H69" s="1541"/>
      <c r="I69" s="1541"/>
      <c r="J69" s="1541"/>
      <c r="K69" s="1080"/>
    </row>
    <row r="70" spans="1:11" x14ac:dyDescent="0.3">
      <c r="A70" s="1535"/>
      <c r="B70" s="1535"/>
      <c r="C70" s="1535"/>
      <c r="D70" s="1535"/>
      <c r="E70" s="1535"/>
      <c r="F70" s="1535"/>
      <c r="G70" s="1535"/>
      <c r="H70" s="1535"/>
      <c r="I70" s="1535"/>
      <c r="J70" s="1535"/>
      <c r="K70" s="1079" t="s">
        <v>500</v>
      </c>
    </row>
    <row r="71" spans="1:11" x14ac:dyDescent="0.3">
      <c r="A71" s="1563"/>
      <c r="B71" s="1563"/>
      <c r="C71" s="1563"/>
      <c r="D71" s="1563"/>
      <c r="E71" s="1563"/>
      <c r="F71" s="1563"/>
      <c r="G71" s="1563"/>
      <c r="H71" s="1563"/>
      <c r="I71" s="1563"/>
      <c r="J71" s="1563"/>
      <c r="K71" s="5">
        <f>COUNTIF(J18:J68,"X")</f>
        <v>11</v>
      </c>
    </row>
  </sheetData>
  <sheetProtection algorithmName="SHA-512" hashValue="8Q6gqVX7sCp5ipvymmBVx2PBESP77F2EJbdBSMQM/x0gTKHqeI9W6x/WqdaaQCYosJrqYMmCsXPFJ76Sh79ETw==" saltValue="sh9h37gwBVq6Mz8gb2fo4w==" spinCount="100000" sheet="1" objects="1" scenarios="1"/>
  <sortState xmlns:xlrd2="http://schemas.microsoft.com/office/spreadsheetml/2017/richdata2" ref="M20:M26">
    <sortCondition ref="M20:M26"/>
  </sortState>
  <mergeCells count="17">
    <mergeCell ref="G16:G17"/>
    <mergeCell ref="E69:J69"/>
    <mergeCell ref="A70:J70"/>
    <mergeCell ref="A71:J71"/>
    <mergeCell ref="I59:J59"/>
    <mergeCell ref="I16:J16"/>
    <mergeCell ref="I34:J34"/>
    <mergeCell ref="E36:E40"/>
    <mergeCell ref="I43:J43"/>
    <mergeCell ref="I51:J51"/>
    <mergeCell ref="H16:H17"/>
    <mergeCell ref="F45:H45"/>
    <mergeCell ref="F44:H44"/>
    <mergeCell ref="C16:C17"/>
    <mergeCell ref="D16:D17"/>
    <mergeCell ref="E16:E17"/>
    <mergeCell ref="F16:F17"/>
  </mergeCells>
  <conditionalFormatting sqref="F36:F40">
    <cfRule type="cellIs" dxfId="147" priority="12" operator="greaterThan">
      <formula>0.1</formula>
    </cfRule>
  </conditionalFormatting>
  <conditionalFormatting sqref="E45:E49">
    <cfRule type="containsBlanks" dxfId="146" priority="7">
      <formula>LEN(TRIM(E45))=0</formula>
    </cfRule>
    <cfRule type="cellIs" dxfId="145" priority="10" operator="greaterThan">
      <formula>0.1</formula>
    </cfRule>
  </conditionalFormatting>
  <conditionalFormatting sqref="H18:H20">
    <cfRule type="cellIs" dxfId="144" priority="8" operator="lessThan">
      <formula>0.99</formula>
    </cfRule>
  </conditionalFormatting>
  <conditionalFormatting sqref="E53:E57">
    <cfRule type="cellIs" dxfId="143" priority="4" operator="greaterThan">
      <formula>0.1</formula>
    </cfRule>
    <cfRule type="containsBlanks" dxfId="142" priority="5">
      <formula>LEN(TRIM(E53))=0</formula>
    </cfRule>
  </conditionalFormatting>
  <conditionalFormatting sqref="E61:E65">
    <cfRule type="cellIs" dxfId="141" priority="1" operator="greaterThan">
      <formula>0.1</formula>
    </cfRule>
    <cfRule type="containsBlanks" dxfId="140" priority="2">
      <formula>LEN(TRIM(E61))=0</formula>
    </cfRule>
  </conditionalFormatting>
  <dataValidations count="3">
    <dataValidation type="list" allowBlank="1" showInputMessage="1" showErrorMessage="1" sqref="D7" xr:uid="{25134650-AC98-4AFE-B0A0-4490F424E47A}">
      <formula1>$M$20:$M$26</formula1>
    </dataValidation>
    <dataValidation type="list" allowBlank="1" showInputMessage="1" showErrorMessage="1" sqref="F44:H44" xr:uid="{F0108068-6FF0-4736-B4EF-F27D5AF748AE}">
      <formula1>$M$44:$M$47</formula1>
    </dataValidation>
    <dataValidation type="list" allowBlank="1" showInputMessage="1" showErrorMessage="1" sqref="F45:H45" xr:uid="{F856D36D-2E59-42F8-86F6-3481E2D37463}">
      <formula1>$M$49:$M$54</formula1>
    </dataValidation>
  </dataValidations>
  <printOptions horizontalCentered="1"/>
  <pageMargins left="0.70866141732283472" right="0.70866141732283472" top="0.74803149606299213" bottom="0.74803149606299213" header="0.31496062992125984" footer="0.31496062992125984"/>
  <pageSetup paperSize="120" scale="64" orientation="portrait" r:id="rId1"/>
  <headerFooter>
    <oddFooter>&amp;CPage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84AA-60EE-46B9-8D89-D2DAFA283C0B}">
  <sheetPr>
    <tabColor rgb="FFF46634"/>
    <pageSetUpPr fitToPage="1"/>
  </sheetPr>
  <dimension ref="A1:S58"/>
  <sheetViews>
    <sheetView topLeftCell="A31" zoomScaleNormal="100" workbookViewId="0">
      <selection activeCell="H62" sqref="H62"/>
    </sheetView>
  </sheetViews>
  <sheetFormatPr baseColWidth="10" defaultColWidth="10.6640625" defaultRowHeight="14.4" x14ac:dyDescent="0.3"/>
  <cols>
    <col min="1" max="1" width="12.6640625" style="1075" customWidth="1"/>
    <col min="2" max="2" width="13.6640625" style="1075" customWidth="1"/>
    <col min="3" max="3" width="15.6640625" style="1075" customWidth="1"/>
    <col min="4" max="4" width="13.44140625" style="1075" customWidth="1"/>
    <col min="5" max="5" width="14.6640625" style="1075" customWidth="1"/>
    <col min="6" max="10" width="12.6640625" style="1075" customWidth="1"/>
    <col min="11" max="11" width="6" style="1075" customWidth="1"/>
    <col min="12" max="12" width="12.6640625" style="1075" customWidth="1"/>
    <col min="13" max="15" width="10.6640625" style="1075" customWidth="1"/>
    <col min="16" max="16" width="15.109375" style="1075" customWidth="1"/>
    <col min="17" max="18" width="10.6640625" style="1075"/>
    <col min="19" max="19" width="9.88671875" style="1075" customWidth="1"/>
    <col min="20" max="16384" width="10.6640625" style="1075"/>
  </cols>
  <sheetData>
    <row r="1" spans="1:19" x14ac:dyDescent="0.3">
      <c r="A1" s="1214" t="s">
        <v>753</v>
      </c>
      <c r="B1" s="1282" t="str">
        <f>Info!C10</f>
        <v>Clinique Ste-Mammo</v>
      </c>
      <c r="C1" s="1215"/>
      <c r="D1" s="1215"/>
      <c r="E1" s="1215"/>
      <c r="F1" s="1215"/>
      <c r="G1" s="1216" t="s">
        <v>755</v>
      </c>
      <c r="H1" s="1216"/>
      <c r="I1" s="1215"/>
      <c r="J1" s="1217" t="str">
        <f>Info!C37</f>
        <v>20-01-2020</v>
      </c>
      <c r="K1" s="1080"/>
    </row>
    <row r="2" spans="1:19" x14ac:dyDescent="0.3">
      <c r="A2" s="1218" t="s">
        <v>754</v>
      </c>
      <c r="B2" s="1219" t="str">
        <f>Info!C21</f>
        <v>Salle 2, Hirad IV</v>
      </c>
      <c r="C2" s="1220"/>
      <c r="D2" s="1220"/>
      <c r="E2" s="1220"/>
      <c r="F2" s="1220"/>
      <c r="G2" s="1221" t="s">
        <v>756</v>
      </c>
      <c r="H2" s="1221"/>
      <c r="I2" s="1220"/>
      <c r="J2" s="1222" t="str">
        <f>Info!C35</f>
        <v>Alexandre Toussaint</v>
      </c>
      <c r="K2" s="1080"/>
      <c r="L2" s="1075" t="s">
        <v>103</v>
      </c>
    </row>
    <row r="3" spans="1:19" x14ac:dyDescent="0.3">
      <c r="A3" s="1223"/>
      <c r="B3" s="237"/>
      <c r="C3" s="62"/>
      <c r="D3" s="62"/>
      <c r="E3" s="62"/>
      <c r="F3" s="62"/>
      <c r="G3" s="1223"/>
      <c r="H3" s="62"/>
      <c r="I3" s="1125"/>
      <c r="J3" s="62"/>
      <c r="K3" s="1080"/>
      <c r="L3" s="1079" t="s">
        <v>104</v>
      </c>
      <c r="M3" s="1079"/>
      <c r="N3" s="1079"/>
      <c r="O3" s="1079"/>
      <c r="P3" s="1079"/>
      <c r="Q3" s="1079"/>
      <c r="R3" s="1079"/>
      <c r="S3" s="1079"/>
    </row>
    <row r="4" spans="1:19" x14ac:dyDescent="0.3">
      <c r="A4" s="851" t="s">
        <v>783</v>
      </c>
      <c r="B4" s="237"/>
      <c r="C4" s="62"/>
      <c r="D4" s="62"/>
      <c r="E4" s="62"/>
      <c r="F4" s="62"/>
      <c r="G4" s="1223"/>
      <c r="H4" s="62"/>
      <c r="I4" s="1125"/>
      <c r="J4" s="62"/>
      <c r="K4" s="1080"/>
      <c r="L4" s="1079" t="s">
        <v>105</v>
      </c>
      <c r="M4" s="1079"/>
      <c r="N4" s="1079"/>
      <c r="O4" s="1079"/>
      <c r="P4" s="1079"/>
      <c r="Q4" s="1079"/>
      <c r="R4" s="1079"/>
      <c r="S4" s="1079"/>
    </row>
    <row r="5" spans="1:19" s="115" customFormat="1" x14ac:dyDescent="0.3">
      <c r="A5" s="143"/>
      <c r="B5" s="144"/>
      <c r="C5" s="144"/>
      <c r="D5" s="144"/>
      <c r="E5" s="144"/>
      <c r="F5" s="144"/>
      <c r="G5" s="144"/>
      <c r="H5" s="144"/>
      <c r="I5" s="144"/>
      <c r="J5" s="144"/>
      <c r="K5" s="412"/>
      <c r="L5" s="1079" t="s">
        <v>106</v>
      </c>
      <c r="M5" s="1079"/>
      <c r="N5" s="1079"/>
      <c r="O5" s="1079"/>
      <c r="P5" s="1079"/>
      <c r="Q5" s="1079"/>
      <c r="R5" s="1079"/>
      <c r="S5" s="1079"/>
    </row>
    <row r="6" spans="1:19" ht="22.8" x14ac:dyDescent="0.3">
      <c r="A6" s="1224"/>
      <c r="B6" s="852" t="s">
        <v>140</v>
      </c>
      <c r="C6" s="853" t="s">
        <v>641</v>
      </c>
      <c r="D6" s="852" t="s">
        <v>244</v>
      </c>
      <c r="E6" s="852" t="s">
        <v>642</v>
      </c>
      <c r="F6" s="853" t="s">
        <v>643</v>
      </c>
      <c r="G6" s="853" t="s">
        <v>85</v>
      </c>
      <c r="H6" s="1225" t="s">
        <v>644</v>
      </c>
      <c r="I6" s="1226"/>
      <c r="J6" s="1226"/>
      <c r="K6" s="1080"/>
    </row>
    <row r="7" spans="1:19" x14ac:dyDescent="0.3">
      <c r="A7" s="327"/>
      <c r="B7" s="326" t="s">
        <v>107</v>
      </c>
      <c r="C7" s="326" t="s">
        <v>108</v>
      </c>
      <c r="D7" s="1064" t="s">
        <v>66</v>
      </c>
      <c r="E7" s="326" t="s">
        <v>109</v>
      </c>
      <c r="F7" s="326">
        <v>0</v>
      </c>
      <c r="G7" s="326"/>
      <c r="H7" s="1191" t="s">
        <v>67</v>
      </c>
      <c r="I7" s="1228"/>
      <c r="J7" s="1228"/>
      <c r="K7" s="1080"/>
      <c r="L7" s="1079" t="s">
        <v>578</v>
      </c>
      <c r="M7" s="1079"/>
      <c r="N7" s="1079"/>
      <c r="O7" s="1079"/>
      <c r="P7" s="1079"/>
      <c r="Q7" s="1079"/>
      <c r="R7" s="1079"/>
      <c r="S7" s="1079"/>
    </row>
    <row r="8" spans="1:19" ht="18" customHeight="1" x14ac:dyDescent="0.3">
      <c r="A8" s="1224"/>
      <c r="B8" s="852" t="s">
        <v>70</v>
      </c>
      <c r="C8" s="853" t="s">
        <v>72</v>
      </c>
      <c r="D8" s="852" t="s">
        <v>71</v>
      </c>
      <c r="E8" s="1224"/>
      <c r="F8" s="1229"/>
      <c r="G8" s="1229"/>
      <c r="H8" s="1230"/>
      <c r="I8" s="1226"/>
      <c r="J8" s="1226"/>
      <c r="K8" s="1080"/>
      <c r="L8" s="1079" t="s">
        <v>579</v>
      </c>
      <c r="M8" s="1079"/>
      <c r="N8" s="1079"/>
      <c r="O8" s="1079"/>
      <c r="P8" s="1079"/>
      <c r="Q8" s="1079"/>
      <c r="R8" s="1079"/>
      <c r="S8" s="1079"/>
    </row>
    <row r="9" spans="1:19" x14ac:dyDescent="0.3">
      <c r="A9" s="1231"/>
      <c r="B9" s="326">
        <v>30</v>
      </c>
      <c r="C9" s="326">
        <v>45</v>
      </c>
      <c r="D9" s="326">
        <v>100</v>
      </c>
      <c r="E9" s="852"/>
      <c r="F9" s="852"/>
      <c r="G9" s="852"/>
      <c r="H9" s="1189"/>
      <c r="I9" s="1232"/>
      <c r="J9" s="1232"/>
      <c r="K9" s="1080"/>
    </row>
    <row r="10" spans="1:19" x14ac:dyDescent="0.3">
      <c r="A10" s="1233"/>
      <c r="B10" s="1190" t="s">
        <v>110</v>
      </c>
      <c r="C10" s="852" t="s">
        <v>111</v>
      </c>
      <c r="D10" s="853" t="s">
        <v>112</v>
      </c>
      <c r="E10" s="853" t="s">
        <v>113</v>
      </c>
      <c r="F10" s="1234" t="s">
        <v>115</v>
      </c>
      <c r="G10" s="852" t="s">
        <v>65</v>
      </c>
      <c r="H10" s="853" t="s">
        <v>504</v>
      </c>
      <c r="I10" s="1234" t="s">
        <v>114</v>
      </c>
      <c r="J10" s="1234" t="s">
        <v>539</v>
      </c>
      <c r="K10" s="1080"/>
    </row>
    <row r="11" spans="1:19" x14ac:dyDescent="0.3">
      <c r="A11" s="1235" t="s">
        <v>952</v>
      </c>
      <c r="B11" s="1192">
        <v>25</v>
      </c>
      <c r="C11" s="1065">
        <v>200</v>
      </c>
      <c r="D11" s="1065">
        <v>2500</v>
      </c>
      <c r="E11" s="1066">
        <v>6</v>
      </c>
      <c r="F11" s="1067">
        <v>1</v>
      </c>
      <c r="G11" s="1237">
        <f>ABS(C11-D11)/E11</f>
        <v>383.33333333333331</v>
      </c>
      <c r="H11" s="1238">
        <f>+E11^2</f>
        <v>36</v>
      </c>
      <c r="I11" s="1239">
        <f>1/B11</f>
        <v>0.04</v>
      </c>
      <c r="J11" s="1240">
        <f>LOG(B11)</f>
        <v>1.3979400086720377</v>
      </c>
      <c r="K11" s="1080"/>
    </row>
    <row r="12" spans="1:19" x14ac:dyDescent="0.3">
      <c r="A12" s="894" t="s">
        <v>116</v>
      </c>
      <c r="B12" s="1192">
        <v>50</v>
      </c>
      <c r="C12" s="1065">
        <v>500</v>
      </c>
      <c r="D12" s="1065">
        <v>1200</v>
      </c>
      <c r="E12" s="1066">
        <v>11</v>
      </c>
      <c r="F12" s="326">
        <v>5</v>
      </c>
      <c r="G12" s="1237">
        <f>ABS(C12-D12)/E12</f>
        <v>63.636363636363633</v>
      </c>
      <c r="H12" s="1238">
        <f>+E12^2</f>
        <v>121</v>
      </c>
      <c r="I12" s="1239">
        <f>1/B12</f>
        <v>0.02</v>
      </c>
      <c r="J12" s="1240">
        <f t="shared" ref="J12:J15" si="0">LOG(B12)</f>
        <v>1.6989700043360187</v>
      </c>
      <c r="K12" s="1080"/>
    </row>
    <row r="13" spans="1:19" x14ac:dyDescent="0.3">
      <c r="A13" s="894" t="s">
        <v>117</v>
      </c>
      <c r="B13" s="1068">
        <v>100</v>
      </c>
      <c r="C13" s="1065">
        <v>1000</v>
      </c>
      <c r="D13" s="1065">
        <v>600</v>
      </c>
      <c r="E13" s="1066">
        <v>13</v>
      </c>
      <c r="F13" s="326">
        <v>7</v>
      </c>
      <c r="G13" s="1237">
        <f>ABS(C13-D13)/E13</f>
        <v>30.76923076923077</v>
      </c>
      <c r="H13" s="1238">
        <f>+E13^2</f>
        <v>169</v>
      </c>
      <c r="I13" s="1239">
        <f>1/B13</f>
        <v>0.01</v>
      </c>
      <c r="J13" s="1240">
        <f t="shared" si="0"/>
        <v>2</v>
      </c>
      <c r="K13" s="1080"/>
    </row>
    <row r="14" spans="1:19" x14ac:dyDescent="0.3">
      <c r="A14" s="894" t="s">
        <v>118</v>
      </c>
      <c r="B14" s="1192">
        <v>200</v>
      </c>
      <c r="C14" s="1065">
        <v>1800</v>
      </c>
      <c r="D14" s="1065">
        <v>300</v>
      </c>
      <c r="E14" s="1066">
        <v>13.5</v>
      </c>
      <c r="F14" s="326">
        <v>8</v>
      </c>
      <c r="G14" s="1237">
        <f>ABS(C14-D14)/E14</f>
        <v>111.11111111111111</v>
      </c>
      <c r="H14" s="1238">
        <f>+E14^2</f>
        <v>182.25</v>
      </c>
      <c r="I14" s="1239">
        <f>1/B14</f>
        <v>5.0000000000000001E-3</v>
      </c>
      <c r="J14" s="1240">
        <f t="shared" si="0"/>
        <v>2.3010299956639813</v>
      </c>
      <c r="K14" s="1080"/>
    </row>
    <row r="15" spans="1:19" x14ac:dyDescent="0.3">
      <c r="A15" s="1242" t="s">
        <v>119</v>
      </c>
      <c r="B15" s="1192">
        <v>300</v>
      </c>
      <c r="C15" s="1065">
        <v>3000</v>
      </c>
      <c r="D15" s="1065">
        <v>190</v>
      </c>
      <c r="E15" s="326">
        <v>14</v>
      </c>
      <c r="F15" s="326">
        <v>9</v>
      </c>
      <c r="G15" s="1237">
        <f>ABS(C15-D15)/E15</f>
        <v>200.71428571428572</v>
      </c>
      <c r="H15" s="1238">
        <f>+E15^2</f>
        <v>196</v>
      </c>
      <c r="I15" s="1239">
        <f>1/B15</f>
        <v>3.3333333333333335E-3</v>
      </c>
      <c r="J15" s="1240">
        <f t="shared" si="0"/>
        <v>2.4771212547196626</v>
      </c>
      <c r="K15" s="1080"/>
      <c r="L15" s="1079" t="s">
        <v>541</v>
      </c>
      <c r="M15" s="1079"/>
      <c r="N15" s="1079"/>
      <c r="O15" s="1079"/>
      <c r="P15" s="1079"/>
    </row>
    <row r="16" spans="1:19" ht="16.5" customHeight="1" x14ac:dyDescent="0.3">
      <c r="A16" s="892"/>
      <c r="B16" s="1243"/>
      <c r="C16" s="1589"/>
      <c r="D16" s="1591"/>
      <c r="E16" s="1593"/>
      <c r="F16" s="1595"/>
      <c r="G16" s="1597"/>
      <c r="H16" s="1593"/>
      <c r="I16" s="1586" t="s">
        <v>15</v>
      </c>
      <c r="J16" s="1587"/>
      <c r="K16" s="1080"/>
      <c r="L16" s="1079" t="s">
        <v>542</v>
      </c>
      <c r="M16" s="1079"/>
      <c r="N16" s="1079"/>
      <c r="O16" s="1079"/>
      <c r="P16" s="1079"/>
    </row>
    <row r="17" spans="1:16" ht="16.5" customHeight="1" x14ac:dyDescent="0.3">
      <c r="A17" s="1244"/>
      <c r="B17" s="1245"/>
      <c r="C17" s="1590"/>
      <c r="D17" s="1592"/>
      <c r="E17" s="1594"/>
      <c r="F17" s="1596"/>
      <c r="G17" s="1592"/>
      <c r="H17" s="1594"/>
      <c r="I17" s="1200" t="s">
        <v>16</v>
      </c>
      <c r="J17" s="1200" t="s">
        <v>17</v>
      </c>
      <c r="K17" s="1080"/>
      <c r="L17" s="1079" t="s">
        <v>543</v>
      </c>
      <c r="M17" s="1079"/>
      <c r="N17" s="1079"/>
      <c r="O17" s="1079"/>
      <c r="P17" s="1079"/>
    </row>
    <row r="18" spans="1:16" ht="16.2" x14ac:dyDescent="0.3">
      <c r="A18" s="504" t="s">
        <v>784</v>
      </c>
      <c r="B18" s="504" t="s">
        <v>953</v>
      </c>
      <c r="C18" s="62"/>
      <c r="D18" s="62"/>
      <c r="E18" s="62"/>
      <c r="F18" s="62"/>
      <c r="G18" s="852" t="s">
        <v>507</v>
      </c>
      <c r="H18" s="1239">
        <f>IF(D11="","",RSQ(H11:H15,I11:I15))</f>
        <v>0.99762910341980926</v>
      </c>
      <c r="I18" s="1246" t="str">
        <f t="shared" ref="I18:I19" si="1">IF(COUNTIF($D$11:$D$15,""),"",IF(H18&gt;=0.99,"X",""))</f>
        <v>X</v>
      </c>
      <c r="J18" s="1246" t="str">
        <f t="shared" ref="J18:J19" si="2">IF(COUNTIF($D$11:$D$15,""),"",IF(H18&lt;0.99,"X",""))</f>
        <v/>
      </c>
      <c r="K18" s="1247"/>
      <c r="L18" s="1079" t="s">
        <v>544</v>
      </c>
      <c r="M18" s="1079"/>
      <c r="N18" s="1079"/>
      <c r="O18" s="1079"/>
      <c r="P18" s="1079"/>
    </row>
    <row r="19" spans="1:16" ht="14.7" customHeight="1" x14ac:dyDescent="0.3">
      <c r="B19" s="62"/>
      <c r="C19" s="62"/>
      <c r="D19" s="62"/>
      <c r="E19" s="62"/>
      <c r="F19" s="62"/>
      <c r="G19" s="852" t="s">
        <v>893</v>
      </c>
      <c r="H19" s="1239">
        <f>IF(D11="","",RSQ(F11:F15,I11:I15))</f>
        <v>0.99297066014669833</v>
      </c>
      <c r="I19" s="1246" t="str">
        <f t="shared" si="1"/>
        <v>X</v>
      </c>
      <c r="J19" s="1246" t="str">
        <f t="shared" si="2"/>
        <v/>
      </c>
      <c r="K19" s="1247"/>
    </row>
    <row r="20" spans="1:16" x14ac:dyDescent="0.3">
      <c r="A20" s="62"/>
      <c r="B20" s="62"/>
      <c r="C20" s="62"/>
      <c r="D20" s="62"/>
      <c r="E20" s="62"/>
      <c r="F20" s="62"/>
      <c r="K20" s="1247"/>
      <c r="L20" s="852" t="s">
        <v>540</v>
      </c>
      <c r="M20" s="1239">
        <f>IF(J11="","",RSQ(J11:J15,F11:F15))</f>
        <v>0.92960858221296694</v>
      </c>
    </row>
    <row r="21" spans="1:16" x14ac:dyDescent="0.3">
      <c r="A21" s="62"/>
      <c r="B21" s="62"/>
      <c r="C21" s="62"/>
      <c r="D21" s="62"/>
      <c r="E21" s="62"/>
      <c r="F21" s="62"/>
      <c r="G21" s="62"/>
      <c r="H21" s="62"/>
      <c r="I21" s="62"/>
      <c r="J21" s="118"/>
      <c r="K21" s="1080"/>
    </row>
    <row r="22" spans="1:16" x14ac:dyDescent="0.3">
      <c r="A22" s="62"/>
      <c r="B22" s="62"/>
      <c r="C22" s="62"/>
      <c r="D22" s="62"/>
      <c r="E22" s="62"/>
      <c r="F22" s="62"/>
      <c r="G22" s="62"/>
      <c r="H22" s="62"/>
      <c r="I22" s="62"/>
      <c r="J22" s="118"/>
      <c r="K22" s="1080"/>
    </row>
    <row r="23" spans="1:16" x14ac:dyDescent="0.3">
      <c r="A23" s="62"/>
      <c r="B23" s="62"/>
      <c r="C23" s="62"/>
      <c r="D23" s="62"/>
      <c r="E23" s="62"/>
      <c r="F23" s="62"/>
      <c r="G23" s="62"/>
      <c r="H23" s="62"/>
      <c r="I23" s="62"/>
      <c r="J23" s="118"/>
      <c r="K23" s="1080"/>
    </row>
    <row r="24" spans="1:16" x14ac:dyDescent="0.3">
      <c r="A24" s="62"/>
      <c r="B24" s="62"/>
      <c r="C24" s="62"/>
      <c r="D24" s="62"/>
      <c r="E24" s="62"/>
      <c r="F24" s="62"/>
      <c r="G24" s="62"/>
      <c r="H24" s="62"/>
      <c r="I24" s="62"/>
      <c r="J24" s="118"/>
      <c r="K24" s="1080"/>
    </row>
    <row r="25" spans="1:16" x14ac:dyDescent="0.3">
      <c r="A25" s="62"/>
      <c r="B25" s="62"/>
      <c r="C25" s="62"/>
      <c r="D25" s="62"/>
      <c r="E25" s="62"/>
      <c r="F25" s="62"/>
      <c r="G25" s="62"/>
      <c r="H25" s="62"/>
      <c r="I25" s="62"/>
      <c r="J25" s="118"/>
      <c r="K25" s="1080"/>
    </row>
    <row r="26" spans="1:16" x14ac:dyDescent="0.3">
      <c r="A26" s="62"/>
      <c r="B26" s="62"/>
      <c r="C26" s="62"/>
      <c r="D26" s="62"/>
      <c r="E26" s="62"/>
      <c r="F26" s="62"/>
      <c r="G26" s="62"/>
      <c r="H26" s="62"/>
      <c r="I26" s="62"/>
      <c r="J26" s="118"/>
      <c r="K26" s="1080"/>
    </row>
    <row r="27" spans="1:16" x14ac:dyDescent="0.3">
      <c r="A27" s="62"/>
      <c r="B27" s="62"/>
      <c r="C27" s="62"/>
      <c r="D27" s="62"/>
      <c r="E27" s="62"/>
      <c r="F27" s="62"/>
      <c r="G27" s="62"/>
      <c r="H27" s="62"/>
      <c r="I27" s="62"/>
      <c r="J27" s="118"/>
      <c r="K27" s="1080"/>
    </row>
    <row r="28" spans="1:16" x14ac:dyDescent="0.3">
      <c r="A28" s="62"/>
      <c r="B28" s="62"/>
      <c r="C28" s="62"/>
      <c r="D28" s="62"/>
      <c r="E28" s="62"/>
      <c r="F28" s="62"/>
      <c r="G28" s="62"/>
      <c r="H28" s="62"/>
      <c r="I28" s="62"/>
      <c r="J28" s="118"/>
      <c r="K28" s="1080"/>
    </row>
    <row r="29" spans="1:16" x14ac:dyDescent="0.3">
      <c r="A29" s="62"/>
      <c r="B29" s="62"/>
      <c r="C29" s="62"/>
      <c r="D29" s="62"/>
      <c r="E29" s="62"/>
      <c r="F29" s="62"/>
      <c r="G29" s="62"/>
      <c r="H29" s="62"/>
      <c r="I29" s="62"/>
      <c r="J29" s="118"/>
      <c r="K29" s="1080"/>
    </row>
    <row r="30" spans="1:16" x14ac:dyDescent="0.3">
      <c r="A30" s="62"/>
      <c r="B30" s="62"/>
      <c r="C30" s="62"/>
      <c r="D30" s="62"/>
      <c r="E30" s="62"/>
      <c r="F30" s="62"/>
      <c r="G30" s="62"/>
      <c r="H30" s="62"/>
      <c r="I30" s="62"/>
      <c r="J30" s="118"/>
      <c r="K30" s="1080"/>
    </row>
    <row r="31" spans="1:16" x14ac:dyDescent="0.3">
      <c r="A31" s="62"/>
      <c r="B31" s="62"/>
      <c r="C31" s="62"/>
      <c r="D31" s="62"/>
      <c r="E31" s="62"/>
      <c r="F31" s="62"/>
      <c r="G31" s="62"/>
      <c r="H31" s="62"/>
      <c r="I31" s="62"/>
      <c r="J31" s="118"/>
      <c r="K31" s="1080"/>
    </row>
    <row r="32" spans="1:16" x14ac:dyDescent="0.3">
      <c r="A32" s="62"/>
      <c r="B32" s="62"/>
      <c r="C32" s="62"/>
      <c r="D32" s="62"/>
      <c r="E32" s="62"/>
      <c r="F32" s="62"/>
      <c r="G32" s="62"/>
      <c r="H32" s="62"/>
      <c r="I32" s="62"/>
      <c r="J32" s="118"/>
      <c r="K32" s="1080"/>
    </row>
    <row r="33" spans="1:15" x14ac:dyDescent="0.3">
      <c r="A33" s="62"/>
      <c r="B33" s="62"/>
      <c r="C33" s="62"/>
      <c r="D33" s="62"/>
      <c r="E33" s="62"/>
      <c r="F33" s="62"/>
      <c r="G33" s="62"/>
      <c r="H33" s="62"/>
      <c r="I33" s="62"/>
      <c r="J33" s="118"/>
      <c r="K33" s="1080"/>
    </row>
    <row r="34" spans="1:15" x14ac:dyDescent="0.3">
      <c r="A34" s="62"/>
      <c r="B34" s="62"/>
      <c r="C34" s="62"/>
      <c r="D34" s="62"/>
      <c r="E34" s="62"/>
      <c r="F34" s="62"/>
      <c r="G34" s="62"/>
      <c r="H34" s="62"/>
      <c r="I34" s="62"/>
      <c r="J34" s="118"/>
      <c r="K34" s="1080"/>
    </row>
    <row r="35" spans="1:15" x14ac:dyDescent="0.3">
      <c r="A35" s="62"/>
      <c r="B35" s="62"/>
      <c r="C35" s="62"/>
      <c r="D35" s="62"/>
      <c r="E35" s="62"/>
      <c r="F35" s="62"/>
      <c r="G35" s="62"/>
      <c r="H35" s="62"/>
      <c r="I35" s="62"/>
      <c r="J35" s="118"/>
      <c r="K35" s="1080"/>
    </row>
    <row r="36" spans="1:15" x14ac:dyDescent="0.3">
      <c r="A36" s="62"/>
      <c r="B36" s="62"/>
      <c r="C36" s="62"/>
      <c r="D36" s="62"/>
      <c r="E36" s="62"/>
      <c r="F36" s="62"/>
      <c r="G36" s="62"/>
      <c r="H36" s="62"/>
      <c r="I36" s="62"/>
      <c r="J36" s="118"/>
      <c r="K36" s="1080"/>
    </row>
    <row r="37" spans="1:15" x14ac:dyDescent="0.3">
      <c r="A37" s="62"/>
      <c r="B37" s="62"/>
      <c r="C37" s="62"/>
      <c r="D37" s="62"/>
      <c r="E37" s="62"/>
      <c r="F37" s="62"/>
      <c r="K37" s="1080"/>
      <c r="L37" s="1164" t="s">
        <v>1186</v>
      </c>
    </row>
    <row r="38" spans="1:15" x14ac:dyDescent="0.3">
      <c r="A38" s="1248" t="s">
        <v>790</v>
      </c>
      <c r="B38" s="1248"/>
      <c r="C38" s="1248"/>
      <c r="D38" s="1249" t="str">
        <f>Info!F37</f>
        <v>20-07-2019</v>
      </c>
      <c r="E38" s="1250"/>
      <c r="F38" s="62"/>
      <c r="I38" s="1588" t="s">
        <v>15</v>
      </c>
      <c r="J38" s="1587"/>
      <c r="K38" s="1080"/>
    </row>
    <row r="39" spans="1:15" ht="15" x14ac:dyDescent="0.3">
      <c r="A39" s="1251" t="s">
        <v>121</v>
      </c>
      <c r="B39" s="852" t="s">
        <v>110</v>
      </c>
      <c r="C39" s="852" t="s">
        <v>513</v>
      </c>
      <c r="D39" s="852" t="s">
        <v>514</v>
      </c>
      <c r="E39" s="852" t="s">
        <v>120</v>
      </c>
      <c r="F39" s="1572" t="s">
        <v>1184</v>
      </c>
      <c r="G39" s="1573"/>
      <c r="H39" s="1574"/>
      <c r="I39" s="1200" t="s">
        <v>16</v>
      </c>
      <c r="J39" s="1200" t="s">
        <v>17</v>
      </c>
      <c r="K39" s="1080"/>
      <c r="M39" s="396" t="s">
        <v>1180</v>
      </c>
      <c r="N39" s="404"/>
      <c r="O39" s="404"/>
    </row>
    <row r="40" spans="1:15" x14ac:dyDescent="0.3">
      <c r="A40" s="1251" t="s">
        <v>952</v>
      </c>
      <c r="B40" s="1241">
        <f>B11</f>
        <v>25</v>
      </c>
      <c r="C40" s="1253">
        <f>E11</f>
        <v>6</v>
      </c>
      <c r="D40" s="1061">
        <v>6</v>
      </c>
      <c r="E40" s="1062">
        <f>IF(COUNTIF(D40,"")=1,"",ABS(C40-D40)/C40)</f>
        <v>0</v>
      </c>
      <c r="F40" s="1569" t="s">
        <v>1183</v>
      </c>
      <c r="G40" s="1570"/>
      <c r="H40" s="1571"/>
      <c r="I40" s="1433" t="str">
        <f>IF($F$39="Comparaison non applicable","",IF(COUNTIF($D$11:$D$15,""),"",IF(E40&lt;=0.1,"X","")))</f>
        <v/>
      </c>
      <c r="J40" s="422" t="str">
        <f>IF($F$39="Comparaison non applicable","",IF(COUNTIF($D$11:$D$15,""),"",IF(E40&gt;0.1,"X","")))</f>
        <v/>
      </c>
      <c r="K40" s="1247"/>
      <c r="M40" s="396" t="s">
        <v>1184</v>
      </c>
      <c r="N40" s="404"/>
      <c r="O40" s="404"/>
    </row>
    <row r="41" spans="1:15" x14ac:dyDescent="0.3">
      <c r="A41" s="894" t="s">
        <v>116</v>
      </c>
      <c r="B41" s="1241">
        <f>B12</f>
        <v>50</v>
      </c>
      <c r="C41" s="1253">
        <f>E12</f>
        <v>11</v>
      </c>
      <c r="D41" s="1061">
        <v>11.9</v>
      </c>
      <c r="E41" s="1062">
        <f t="shared" ref="E41:E44" si="3">IF(COUNTIF(D41,"")=1,"",ABS(C41-D41)/C41)</f>
        <v>8.1818181818181845E-2</v>
      </c>
      <c r="F41" s="892"/>
      <c r="G41" s="1254"/>
      <c r="H41" s="1006"/>
      <c r="I41" s="1433" t="str">
        <f t="shared" ref="I41:I44" si="4">IF($F$39="Comparaison non applicable","",IF(COUNTIF($D$11:$D$15,""),"",IF(E41&lt;=0.1,"X","")))</f>
        <v/>
      </c>
      <c r="J41" s="422" t="str">
        <f t="shared" ref="J41:J44" si="5">IF($F$39="Comparaison non applicable","",IF(COUNTIF($D$11:$D$15,""),"",IF(E41&gt;0.1,"X","")))</f>
        <v/>
      </c>
      <c r="K41" s="1247"/>
      <c r="N41" s="163"/>
      <c r="O41" s="163"/>
    </row>
    <row r="42" spans="1:15" x14ac:dyDescent="0.3">
      <c r="A42" s="894" t="s">
        <v>117</v>
      </c>
      <c r="B42" s="1241">
        <f>B13</f>
        <v>100</v>
      </c>
      <c r="C42" s="1253">
        <f>E13</f>
        <v>13</v>
      </c>
      <c r="D42" s="1061">
        <v>14.5</v>
      </c>
      <c r="E42" s="1062">
        <f t="shared" si="3"/>
        <v>0.11538461538461539</v>
      </c>
      <c r="F42" s="892"/>
      <c r="G42" s="1254"/>
      <c r="H42" s="1006"/>
      <c r="I42" s="1433" t="str">
        <f t="shared" si="4"/>
        <v/>
      </c>
      <c r="J42" s="422" t="str">
        <f t="shared" si="5"/>
        <v/>
      </c>
      <c r="K42" s="1247"/>
      <c r="N42" s="163"/>
      <c r="O42" s="163"/>
    </row>
    <row r="43" spans="1:15" x14ac:dyDescent="0.3">
      <c r="A43" s="894" t="s">
        <v>118</v>
      </c>
      <c r="B43" s="1241">
        <f>B14</f>
        <v>200</v>
      </c>
      <c r="C43" s="1253">
        <f>E14</f>
        <v>13.5</v>
      </c>
      <c r="D43" s="1061">
        <v>8</v>
      </c>
      <c r="E43" s="1062">
        <f t="shared" si="3"/>
        <v>0.40740740740740738</v>
      </c>
      <c r="F43" s="892"/>
      <c r="G43" s="1254"/>
      <c r="H43" s="1006"/>
      <c r="I43" s="1433" t="str">
        <f t="shared" si="4"/>
        <v/>
      </c>
      <c r="J43" s="422" t="str">
        <f t="shared" si="5"/>
        <v/>
      </c>
      <c r="K43" s="1247"/>
      <c r="N43" s="163"/>
      <c r="O43" s="163"/>
    </row>
    <row r="44" spans="1:15" x14ac:dyDescent="0.3">
      <c r="A44" s="1242" t="s">
        <v>119</v>
      </c>
      <c r="B44" s="1241">
        <f>B15</f>
        <v>300</v>
      </c>
      <c r="C44" s="1253">
        <f>E15</f>
        <v>14</v>
      </c>
      <c r="D44" s="1061">
        <v>5.5</v>
      </c>
      <c r="E44" s="1062">
        <f t="shared" si="3"/>
        <v>0.6071428571428571</v>
      </c>
      <c r="F44" s="1244"/>
      <c r="G44" s="1255"/>
      <c r="H44" s="1256"/>
      <c r="I44" s="1433" t="str">
        <f t="shared" si="4"/>
        <v/>
      </c>
      <c r="J44" s="422" t="str">
        <f t="shared" si="5"/>
        <v/>
      </c>
      <c r="K44" s="1247"/>
      <c r="M44" s="396" t="s">
        <v>1181</v>
      </c>
      <c r="N44" s="404"/>
      <c r="O44" s="404"/>
    </row>
    <row r="45" spans="1:15" x14ac:dyDescent="0.3">
      <c r="A45" s="132" t="s">
        <v>784</v>
      </c>
      <c r="B45" s="132" t="s">
        <v>787</v>
      </c>
      <c r="C45" s="1257"/>
      <c r="D45" s="1258"/>
      <c r="E45" s="446"/>
      <c r="F45" s="62"/>
      <c r="I45" s="1227"/>
      <c r="J45" s="1236"/>
      <c r="K45" s="1080"/>
      <c r="M45" s="396" t="s">
        <v>1182</v>
      </c>
      <c r="N45" s="404"/>
      <c r="O45" s="404"/>
    </row>
    <row r="46" spans="1:15" x14ac:dyDescent="0.3">
      <c r="B46" s="62"/>
      <c r="C46" s="62"/>
      <c r="D46" s="1250"/>
      <c r="E46" s="1250"/>
      <c r="F46" s="62"/>
      <c r="I46" s="1588" t="s">
        <v>15</v>
      </c>
      <c r="J46" s="1587"/>
      <c r="K46" s="1080"/>
      <c r="M46" s="396" t="s">
        <v>1195</v>
      </c>
      <c r="N46" s="404"/>
      <c r="O46" s="404"/>
    </row>
    <row r="47" spans="1:15" ht="15" x14ac:dyDescent="0.3">
      <c r="A47" s="1251" t="s">
        <v>65</v>
      </c>
      <c r="B47" s="852" t="s">
        <v>110</v>
      </c>
      <c r="C47" s="852" t="s">
        <v>515</v>
      </c>
      <c r="D47" s="852" t="s">
        <v>516</v>
      </c>
      <c r="E47" s="852" t="s">
        <v>120</v>
      </c>
      <c r="F47" s="1252"/>
      <c r="G47" s="1003"/>
      <c r="H47" s="1004"/>
      <c r="I47" s="1200" t="s">
        <v>16</v>
      </c>
      <c r="J47" s="1200" t="s">
        <v>17</v>
      </c>
      <c r="K47" s="1080"/>
      <c r="M47" s="396" t="s">
        <v>1183</v>
      </c>
      <c r="N47" s="404"/>
      <c r="O47" s="404"/>
    </row>
    <row r="48" spans="1:15" x14ac:dyDescent="0.3">
      <c r="A48" s="1251" t="s">
        <v>952</v>
      </c>
      <c r="B48" s="1241">
        <f>B11</f>
        <v>25</v>
      </c>
      <c r="C48" s="1253">
        <f>ABS(C11-D11)/E11</f>
        <v>383.33333333333331</v>
      </c>
      <c r="D48" s="1061">
        <v>9</v>
      </c>
      <c r="E48" s="1062">
        <f t="shared" ref="E48:E52" si="6">IF(COUNTIF(D48,"")=1,"",ABS(C48-D48)/C48)</f>
        <v>0.97652173913043483</v>
      </c>
      <c r="F48" s="892"/>
      <c r="G48" s="1254"/>
      <c r="H48" s="1006"/>
      <c r="I48" s="1433" t="str">
        <f>IF($F$39="Comparaison non applicable","",IF(COUNTIF($D$11:$D$15,""),"",IF(E48&lt;=0.1,"X","")))</f>
        <v/>
      </c>
      <c r="J48" s="422" t="str">
        <f>IF($F$39="Comparaison non applicable","",IF(COUNTIF($D$11:$D$15,""),"",IF(E48&gt;0.1,"X","")))</f>
        <v/>
      </c>
      <c r="K48" s="1080"/>
      <c r="L48" s="1075" t="s">
        <v>305</v>
      </c>
    </row>
    <row r="49" spans="1:13" x14ac:dyDescent="0.3">
      <c r="A49" s="894" t="s">
        <v>116</v>
      </c>
      <c r="B49" s="1241">
        <f>B12</f>
        <v>50</v>
      </c>
      <c r="C49" s="1253">
        <f>ABS(C12-D12)/E12</f>
        <v>63.636363636363633</v>
      </c>
      <c r="D49" s="1061">
        <v>69</v>
      </c>
      <c r="E49" s="1062">
        <f t="shared" si="6"/>
        <v>8.4285714285714339E-2</v>
      </c>
      <c r="F49" s="892"/>
      <c r="G49" s="1254"/>
      <c r="H49" s="1006"/>
      <c r="I49" s="1433" t="str">
        <f t="shared" ref="I49:I52" si="7">IF($F$39="Comparaison non applicable","",IF(COUNTIF($D$11:$D$15,""),"",IF(E49&lt;=0.1,"X","")))</f>
        <v/>
      </c>
      <c r="J49" s="422" t="str">
        <f t="shared" ref="J49:J52" si="8">IF($F$39="Comparaison non applicable","",IF(COUNTIF($D$11:$D$15,""),"",IF(E49&gt;0.1,"X","")))</f>
        <v/>
      </c>
      <c r="K49" s="1247"/>
      <c r="M49" s="174" t="s">
        <v>200</v>
      </c>
    </row>
    <row r="50" spans="1:13" x14ac:dyDescent="0.3">
      <c r="A50" s="894" t="s">
        <v>117</v>
      </c>
      <c r="B50" s="1241">
        <f>B13</f>
        <v>100</v>
      </c>
      <c r="C50" s="1253">
        <f>ABS(C13-D13)/E13</f>
        <v>30.76923076923077</v>
      </c>
      <c r="D50" s="1061">
        <v>14</v>
      </c>
      <c r="E50" s="1062">
        <f t="shared" si="6"/>
        <v>0.54500000000000004</v>
      </c>
      <c r="F50" s="892"/>
      <c r="G50" s="1254"/>
      <c r="H50" s="1006"/>
      <c r="I50" s="1433" t="str">
        <f t="shared" si="7"/>
        <v/>
      </c>
      <c r="J50" s="422" t="str">
        <f t="shared" si="8"/>
        <v/>
      </c>
      <c r="K50" s="1247"/>
      <c r="M50" s="771" t="s">
        <v>66</v>
      </c>
    </row>
    <row r="51" spans="1:13" x14ac:dyDescent="0.3">
      <c r="A51" s="894" t="s">
        <v>118</v>
      </c>
      <c r="B51" s="1241">
        <f>B14</f>
        <v>200</v>
      </c>
      <c r="C51" s="1253">
        <f>ABS(C14-D14)/E14</f>
        <v>111.11111111111111</v>
      </c>
      <c r="D51" s="1061">
        <v>7</v>
      </c>
      <c r="E51" s="1062">
        <f t="shared" si="6"/>
        <v>0.93700000000000006</v>
      </c>
      <c r="F51" s="892"/>
      <c r="G51" s="1254"/>
      <c r="H51" s="1006"/>
      <c r="I51" s="1433" t="str">
        <f t="shared" si="7"/>
        <v/>
      </c>
      <c r="J51" s="422" t="str">
        <f t="shared" si="8"/>
        <v/>
      </c>
      <c r="K51" s="1247"/>
      <c r="M51" s="771" t="s">
        <v>123</v>
      </c>
    </row>
    <row r="52" spans="1:13" x14ac:dyDescent="0.3">
      <c r="A52" s="1242" t="s">
        <v>119</v>
      </c>
      <c r="B52" s="1241">
        <f>B15</f>
        <v>300</v>
      </c>
      <c r="C52" s="1253">
        <f>ABS(C15-D15)/E15</f>
        <v>200.71428571428572</v>
      </c>
      <c r="D52" s="1061">
        <v>200</v>
      </c>
      <c r="E52" s="1062">
        <f t="shared" si="6"/>
        <v>3.5587188612100046E-3</v>
      </c>
      <c r="F52" s="1244"/>
      <c r="G52" s="1255"/>
      <c r="H52" s="1256"/>
      <c r="I52" s="1433" t="str">
        <f t="shared" si="7"/>
        <v/>
      </c>
      <c r="J52" s="422" t="str">
        <f t="shared" si="8"/>
        <v/>
      </c>
      <c r="K52" s="1247"/>
      <c r="M52" s="772" t="s">
        <v>912</v>
      </c>
    </row>
    <row r="53" spans="1:13" x14ac:dyDescent="0.3">
      <c r="A53" s="132" t="s">
        <v>791</v>
      </c>
      <c r="B53" s="132" t="s">
        <v>787</v>
      </c>
      <c r="C53" s="1257"/>
      <c r="D53" s="1258"/>
      <c r="E53" s="446"/>
      <c r="F53" s="62"/>
      <c r="K53" s="1247"/>
      <c r="M53" s="771" t="s">
        <v>124</v>
      </c>
    </row>
    <row r="54" spans="1:13" x14ac:dyDescent="0.3">
      <c r="A54" s="1259"/>
      <c r="B54" s="1259"/>
      <c r="C54" s="1259"/>
      <c r="D54" s="1259"/>
      <c r="E54" s="1259"/>
      <c r="F54" s="1259"/>
      <c r="G54" s="1259"/>
      <c r="H54" s="1259"/>
      <c r="I54" s="1259"/>
      <c r="J54" s="1259"/>
      <c r="K54" s="1080"/>
      <c r="M54" s="771" t="s">
        <v>202</v>
      </c>
    </row>
    <row r="55" spans="1:13" x14ac:dyDescent="0.3">
      <c r="A55" s="62"/>
      <c r="B55" s="62"/>
      <c r="C55" s="62"/>
      <c r="D55" s="1250"/>
      <c r="E55" s="1250"/>
      <c r="F55" s="62"/>
      <c r="K55" s="1080"/>
      <c r="M55" s="771" t="s">
        <v>203</v>
      </c>
    </row>
    <row r="56" spans="1:13" x14ac:dyDescent="0.3">
      <c r="A56" s="1069" t="s">
        <v>778</v>
      </c>
      <c r="B56" s="1069"/>
      <c r="C56" s="1069"/>
      <c r="D56" s="1070"/>
      <c r="E56" s="1583"/>
      <c r="F56" s="1583"/>
      <c r="G56" s="1583"/>
      <c r="H56" s="1583"/>
      <c r="I56" s="1583"/>
      <c r="J56" s="1583"/>
      <c r="K56" s="1080"/>
      <c r="M56" s="771" t="s">
        <v>204</v>
      </c>
    </row>
    <row r="57" spans="1:13" x14ac:dyDescent="0.3">
      <c r="A57" s="1584"/>
      <c r="B57" s="1584"/>
      <c r="C57" s="1584"/>
      <c r="D57" s="1584"/>
      <c r="E57" s="1584"/>
      <c r="F57" s="1584"/>
      <c r="G57" s="1584"/>
      <c r="H57" s="1584"/>
      <c r="I57" s="1584"/>
      <c r="J57" s="1584"/>
      <c r="K57" s="1079" t="s">
        <v>500</v>
      </c>
    </row>
    <row r="58" spans="1:13" x14ac:dyDescent="0.3">
      <c r="A58" s="1585"/>
      <c r="B58" s="1585"/>
      <c r="C58" s="1585"/>
      <c r="D58" s="1585"/>
      <c r="E58" s="1585"/>
      <c r="F58" s="1585"/>
      <c r="G58" s="1585"/>
      <c r="H58" s="1585"/>
      <c r="I58" s="1585"/>
      <c r="J58" s="1585"/>
      <c r="K58" s="1260">
        <f>COUNTIF(J18:J52,"X")</f>
        <v>0</v>
      </c>
    </row>
  </sheetData>
  <sheetProtection algorithmName="SHA-512" hashValue="IhiEcgYHX+cYPg9Er4JVnGQF6lOWiZEB57vvmaz9u8LLP98Kc4+Aepia+U6gEcwCjAWGzeQeWKfExAwLDWsQIg==" saltValue="YKFnZXOwnHwLzmBYRQcsBQ==" spinCount="100000" sheet="1" objects="1" scenarios="1"/>
  <mergeCells count="14">
    <mergeCell ref="E56:J56"/>
    <mergeCell ref="A57:J57"/>
    <mergeCell ref="A58:J58"/>
    <mergeCell ref="I16:J16"/>
    <mergeCell ref="I38:J38"/>
    <mergeCell ref="I46:J46"/>
    <mergeCell ref="C16:C17"/>
    <mergeCell ref="D16:D17"/>
    <mergeCell ref="E16:E17"/>
    <mergeCell ref="F16:F17"/>
    <mergeCell ref="G16:G17"/>
    <mergeCell ref="H16:H17"/>
    <mergeCell ref="F39:H39"/>
    <mergeCell ref="F40:H40"/>
  </mergeCells>
  <conditionalFormatting sqref="E40:E44">
    <cfRule type="cellIs" dxfId="139" priority="9" operator="greaterThan">
      <formula>0.1</formula>
    </cfRule>
    <cfRule type="containsBlanks" dxfId="138" priority="10">
      <formula>LEN(TRIM(E40))=0</formula>
    </cfRule>
  </conditionalFormatting>
  <conditionalFormatting sqref="M20">
    <cfRule type="cellIs" dxfId="137" priority="4" operator="lessThan">
      <formula>0.9801</formula>
    </cfRule>
    <cfRule type="cellIs" dxfId="136" priority="5" operator="lessThan">
      <formula>0.9805</formula>
    </cfRule>
  </conditionalFormatting>
  <conditionalFormatting sqref="H18:H19">
    <cfRule type="cellIs" dxfId="135" priority="13" operator="lessThan">
      <formula>0.99</formula>
    </cfRule>
  </conditionalFormatting>
  <conditionalFormatting sqref="E48:E52">
    <cfRule type="cellIs" dxfId="134" priority="1" operator="greaterThan">
      <formula>0.1</formula>
    </cfRule>
    <cfRule type="containsBlanks" dxfId="133" priority="2">
      <formula>LEN(TRIM(E48))=0</formula>
    </cfRule>
  </conditionalFormatting>
  <dataValidations count="3">
    <dataValidation type="list" allowBlank="1" showInputMessage="1" showErrorMessage="1" sqref="F39:H39" xr:uid="{FC112C2F-C214-40A3-9D3C-EF9FC070E252}">
      <formula1>$M$38:$M$41</formula1>
    </dataValidation>
    <dataValidation type="list" allowBlank="1" showInputMessage="1" showErrorMessage="1" sqref="F40:H40" xr:uid="{AA039841-CA67-431F-9D51-C3C979AF1223}">
      <formula1>$M$43:$M$48</formula1>
    </dataValidation>
    <dataValidation type="list" allowBlank="1" showInputMessage="1" showErrorMessage="1" sqref="D7" xr:uid="{EA26C6B4-9642-49E4-AB73-C3650693CB5E}">
      <formula1>$M$50:$M$56</formula1>
    </dataValidation>
  </dataValidations>
  <printOptions horizontalCentered="1"/>
  <pageMargins left="0.70866141732283472" right="0.70866141732283472" top="0.74803149606299213" bottom="0.74803149606299213" header="0.31496062992125984" footer="0.31496062992125984"/>
  <pageSetup paperSize="120" scale="72" orientation="portrait" r:id="rId1"/>
  <headerFooter>
    <oddFooter>&amp;CPage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66FB7-4465-484B-B217-01765E75F07D}">
  <sheetPr>
    <tabColor theme="3" tint="-0.249977111117893"/>
    <pageSetUpPr fitToPage="1"/>
  </sheetPr>
  <dimension ref="A1:P50"/>
  <sheetViews>
    <sheetView zoomScaleNormal="100" workbookViewId="0">
      <selection activeCell="I2" sqref="I2"/>
    </sheetView>
  </sheetViews>
  <sheetFormatPr baseColWidth="10" defaultRowHeight="13.2" x14ac:dyDescent="0.25"/>
  <cols>
    <col min="1" max="1" width="41.6640625" style="1329" customWidth="1"/>
    <col min="2" max="6" width="8.44140625" style="1329" customWidth="1"/>
    <col min="7" max="7" width="9.33203125" style="1329" customWidth="1"/>
    <col min="8" max="9" width="7.5546875" style="1329" customWidth="1"/>
    <col min="10" max="10" width="7.5546875" style="1394" customWidth="1"/>
    <col min="11" max="11" width="12.33203125" style="1329" customWidth="1"/>
    <col min="12" max="12" width="7.5546875" style="1329" customWidth="1"/>
    <col min="13" max="13" width="10.6640625" style="1329" customWidth="1"/>
    <col min="14" max="255" width="11.5546875" style="1329"/>
    <col min="256" max="256" width="18.44140625" style="1329" customWidth="1"/>
    <col min="257" max="257" width="8.33203125" style="1329" customWidth="1"/>
    <col min="258" max="262" width="8.44140625" style="1329" customWidth="1"/>
    <col min="263" max="263" width="9.33203125" style="1329" customWidth="1"/>
    <col min="264" max="268" width="7.5546875" style="1329" customWidth="1"/>
    <col min="269" max="511" width="11.5546875" style="1329"/>
    <col min="512" max="512" width="18.44140625" style="1329" customWidth="1"/>
    <col min="513" max="513" width="8.33203125" style="1329" customWidth="1"/>
    <col min="514" max="518" width="8.44140625" style="1329" customWidth="1"/>
    <col min="519" max="519" width="9.33203125" style="1329" customWidth="1"/>
    <col min="520" max="524" width="7.5546875" style="1329" customWidth="1"/>
    <col min="525" max="767" width="11.5546875" style="1329"/>
    <col min="768" max="768" width="18.44140625" style="1329" customWidth="1"/>
    <col min="769" max="769" width="8.33203125" style="1329" customWidth="1"/>
    <col min="770" max="774" width="8.44140625" style="1329" customWidth="1"/>
    <col min="775" max="775" width="9.33203125" style="1329" customWidth="1"/>
    <col min="776" max="780" width="7.5546875" style="1329" customWidth="1"/>
    <col min="781" max="1023" width="11.5546875" style="1329"/>
    <col min="1024" max="1024" width="18.44140625" style="1329" customWidth="1"/>
    <col min="1025" max="1025" width="8.33203125" style="1329" customWidth="1"/>
    <col min="1026" max="1030" width="8.44140625" style="1329" customWidth="1"/>
    <col min="1031" max="1031" width="9.33203125" style="1329" customWidth="1"/>
    <col min="1032" max="1036" width="7.5546875" style="1329" customWidth="1"/>
    <col min="1037" max="1279" width="11.5546875" style="1329"/>
    <col min="1280" max="1280" width="18.44140625" style="1329" customWidth="1"/>
    <col min="1281" max="1281" width="8.33203125" style="1329" customWidth="1"/>
    <col min="1282" max="1286" width="8.44140625" style="1329" customWidth="1"/>
    <col min="1287" max="1287" width="9.33203125" style="1329" customWidth="1"/>
    <col min="1288" max="1292" width="7.5546875" style="1329" customWidth="1"/>
    <col min="1293" max="1535" width="11.5546875" style="1329"/>
    <col min="1536" max="1536" width="18.44140625" style="1329" customWidth="1"/>
    <col min="1537" max="1537" width="8.33203125" style="1329" customWidth="1"/>
    <col min="1538" max="1542" width="8.44140625" style="1329" customWidth="1"/>
    <col min="1543" max="1543" width="9.33203125" style="1329" customWidth="1"/>
    <col min="1544" max="1548" width="7.5546875" style="1329" customWidth="1"/>
    <col min="1549" max="1791" width="11.5546875" style="1329"/>
    <col min="1792" max="1792" width="18.44140625" style="1329" customWidth="1"/>
    <col min="1793" max="1793" width="8.33203125" style="1329" customWidth="1"/>
    <col min="1794" max="1798" width="8.44140625" style="1329" customWidth="1"/>
    <col min="1799" max="1799" width="9.33203125" style="1329" customWidth="1"/>
    <col min="1800" max="1804" width="7.5546875" style="1329" customWidth="1"/>
    <col min="1805" max="2047" width="11.5546875" style="1329"/>
    <col min="2048" max="2048" width="18.44140625" style="1329" customWidth="1"/>
    <col min="2049" max="2049" width="8.33203125" style="1329" customWidth="1"/>
    <col min="2050" max="2054" width="8.44140625" style="1329" customWidth="1"/>
    <col min="2055" max="2055" width="9.33203125" style="1329" customWidth="1"/>
    <col min="2056" max="2060" width="7.5546875" style="1329" customWidth="1"/>
    <col min="2061" max="2303" width="11.5546875" style="1329"/>
    <col min="2304" max="2304" width="18.44140625" style="1329" customWidth="1"/>
    <col min="2305" max="2305" width="8.33203125" style="1329" customWidth="1"/>
    <col min="2306" max="2310" width="8.44140625" style="1329" customWidth="1"/>
    <col min="2311" max="2311" width="9.33203125" style="1329" customWidth="1"/>
    <col min="2312" max="2316" width="7.5546875" style="1329" customWidth="1"/>
    <col min="2317" max="2559" width="11.5546875" style="1329"/>
    <col min="2560" max="2560" width="18.44140625" style="1329" customWidth="1"/>
    <col min="2561" max="2561" width="8.33203125" style="1329" customWidth="1"/>
    <col min="2562" max="2566" width="8.44140625" style="1329" customWidth="1"/>
    <col min="2567" max="2567" width="9.33203125" style="1329" customWidth="1"/>
    <col min="2568" max="2572" width="7.5546875" style="1329" customWidth="1"/>
    <col min="2573" max="2815" width="11.5546875" style="1329"/>
    <col min="2816" max="2816" width="18.44140625" style="1329" customWidth="1"/>
    <col min="2817" max="2817" width="8.33203125" style="1329" customWidth="1"/>
    <col min="2818" max="2822" width="8.44140625" style="1329" customWidth="1"/>
    <col min="2823" max="2823" width="9.33203125" style="1329" customWidth="1"/>
    <col min="2824" max="2828" width="7.5546875" style="1329" customWidth="1"/>
    <col min="2829" max="3071" width="11.5546875" style="1329"/>
    <col min="3072" max="3072" width="18.44140625" style="1329" customWidth="1"/>
    <col min="3073" max="3073" width="8.33203125" style="1329" customWidth="1"/>
    <col min="3074" max="3078" width="8.44140625" style="1329" customWidth="1"/>
    <col min="3079" max="3079" width="9.33203125" style="1329" customWidth="1"/>
    <col min="3080" max="3084" width="7.5546875" style="1329" customWidth="1"/>
    <col min="3085" max="3327" width="11.5546875" style="1329"/>
    <col min="3328" max="3328" width="18.44140625" style="1329" customWidth="1"/>
    <col min="3329" max="3329" width="8.33203125" style="1329" customWidth="1"/>
    <col min="3330" max="3334" width="8.44140625" style="1329" customWidth="1"/>
    <col min="3335" max="3335" width="9.33203125" style="1329" customWidth="1"/>
    <col min="3336" max="3340" width="7.5546875" style="1329" customWidth="1"/>
    <col min="3341" max="3583" width="11.5546875" style="1329"/>
    <col min="3584" max="3584" width="18.44140625" style="1329" customWidth="1"/>
    <col min="3585" max="3585" width="8.33203125" style="1329" customWidth="1"/>
    <col min="3586" max="3590" width="8.44140625" style="1329" customWidth="1"/>
    <col min="3591" max="3591" width="9.33203125" style="1329" customWidth="1"/>
    <col min="3592" max="3596" width="7.5546875" style="1329" customWidth="1"/>
    <col min="3597" max="3839" width="11.5546875" style="1329"/>
    <col min="3840" max="3840" width="18.44140625" style="1329" customWidth="1"/>
    <col min="3841" max="3841" width="8.33203125" style="1329" customWidth="1"/>
    <col min="3842" max="3846" width="8.44140625" style="1329" customWidth="1"/>
    <col min="3847" max="3847" width="9.33203125" style="1329" customWidth="1"/>
    <col min="3848" max="3852" width="7.5546875" style="1329" customWidth="1"/>
    <col min="3853" max="4095" width="11.5546875" style="1329"/>
    <col min="4096" max="4096" width="18.44140625" style="1329" customWidth="1"/>
    <col min="4097" max="4097" width="8.33203125" style="1329" customWidth="1"/>
    <col min="4098" max="4102" width="8.44140625" style="1329" customWidth="1"/>
    <col min="4103" max="4103" width="9.33203125" style="1329" customWidth="1"/>
    <col min="4104" max="4108" width="7.5546875" style="1329" customWidth="1"/>
    <col min="4109" max="4351" width="11.5546875" style="1329"/>
    <col min="4352" max="4352" width="18.44140625" style="1329" customWidth="1"/>
    <col min="4353" max="4353" width="8.33203125" style="1329" customWidth="1"/>
    <col min="4354" max="4358" width="8.44140625" style="1329" customWidth="1"/>
    <col min="4359" max="4359" width="9.33203125" style="1329" customWidth="1"/>
    <col min="4360" max="4364" width="7.5546875" style="1329" customWidth="1"/>
    <col min="4365" max="4607" width="11.5546875" style="1329"/>
    <col min="4608" max="4608" width="18.44140625" style="1329" customWidth="1"/>
    <col min="4609" max="4609" width="8.33203125" style="1329" customWidth="1"/>
    <col min="4610" max="4614" width="8.44140625" style="1329" customWidth="1"/>
    <col min="4615" max="4615" width="9.33203125" style="1329" customWidth="1"/>
    <col min="4616" max="4620" width="7.5546875" style="1329" customWidth="1"/>
    <col min="4621" max="4863" width="11.5546875" style="1329"/>
    <col min="4864" max="4864" width="18.44140625" style="1329" customWidth="1"/>
    <col min="4865" max="4865" width="8.33203125" style="1329" customWidth="1"/>
    <col min="4866" max="4870" width="8.44140625" style="1329" customWidth="1"/>
    <col min="4871" max="4871" width="9.33203125" style="1329" customWidth="1"/>
    <col min="4872" max="4876" width="7.5546875" style="1329" customWidth="1"/>
    <col min="4877" max="5119" width="11.5546875" style="1329"/>
    <col min="5120" max="5120" width="18.44140625" style="1329" customWidth="1"/>
    <col min="5121" max="5121" width="8.33203125" style="1329" customWidth="1"/>
    <col min="5122" max="5126" width="8.44140625" style="1329" customWidth="1"/>
    <col min="5127" max="5127" width="9.33203125" style="1329" customWidth="1"/>
    <col min="5128" max="5132" width="7.5546875" style="1329" customWidth="1"/>
    <col min="5133" max="5375" width="11.5546875" style="1329"/>
    <col min="5376" max="5376" width="18.44140625" style="1329" customWidth="1"/>
    <col min="5377" max="5377" width="8.33203125" style="1329" customWidth="1"/>
    <col min="5378" max="5382" width="8.44140625" style="1329" customWidth="1"/>
    <col min="5383" max="5383" width="9.33203125" style="1329" customWidth="1"/>
    <col min="5384" max="5388" width="7.5546875" style="1329" customWidth="1"/>
    <col min="5389" max="5631" width="11.5546875" style="1329"/>
    <col min="5632" max="5632" width="18.44140625" style="1329" customWidth="1"/>
    <col min="5633" max="5633" width="8.33203125" style="1329" customWidth="1"/>
    <col min="5634" max="5638" width="8.44140625" style="1329" customWidth="1"/>
    <col min="5639" max="5639" width="9.33203125" style="1329" customWidth="1"/>
    <col min="5640" max="5644" width="7.5546875" style="1329" customWidth="1"/>
    <col min="5645" max="5887" width="11.5546875" style="1329"/>
    <col min="5888" max="5888" width="18.44140625" style="1329" customWidth="1"/>
    <col min="5889" max="5889" width="8.33203125" style="1329" customWidth="1"/>
    <col min="5890" max="5894" width="8.44140625" style="1329" customWidth="1"/>
    <col min="5895" max="5895" width="9.33203125" style="1329" customWidth="1"/>
    <col min="5896" max="5900" width="7.5546875" style="1329" customWidth="1"/>
    <col min="5901" max="6143" width="11.5546875" style="1329"/>
    <col min="6144" max="6144" width="18.44140625" style="1329" customWidth="1"/>
    <col min="6145" max="6145" width="8.33203125" style="1329" customWidth="1"/>
    <col min="6146" max="6150" width="8.44140625" style="1329" customWidth="1"/>
    <col min="6151" max="6151" width="9.33203125" style="1329" customWidth="1"/>
    <col min="6152" max="6156" width="7.5546875" style="1329" customWidth="1"/>
    <col min="6157" max="6399" width="11.5546875" style="1329"/>
    <col min="6400" max="6400" width="18.44140625" style="1329" customWidth="1"/>
    <col min="6401" max="6401" width="8.33203125" style="1329" customWidth="1"/>
    <col min="6402" max="6406" width="8.44140625" style="1329" customWidth="1"/>
    <col min="6407" max="6407" width="9.33203125" style="1329" customWidth="1"/>
    <col min="6408" max="6412" width="7.5546875" style="1329" customWidth="1"/>
    <col min="6413" max="6655" width="11.5546875" style="1329"/>
    <col min="6656" max="6656" width="18.44140625" style="1329" customWidth="1"/>
    <col min="6657" max="6657" width="8.33203125" style="1329" customWidth="1"/>
    <col min="6658" max="6662" width="8.44140625" style="1329" customWidth="1"/>
    <col min="6663" max="6663" width="9.33203125" style="1329" customWidth="1"/>
    <col min="6664" max="6668" width="7.5546875" style="1329" customWidth="1"/>
    <col min="6669" max="6911" width="11.5546875" style="1329"/>
    <col min="6912" max="6912" width="18.44140625" style="1329" customWidth="1"/>
    <col min="6913" max="6913" width="8.33203125" style="1329" customWidth="1"/>
    <col min="6914" max="6918" width="8.44140625" style="1329" customWidth="1"/>
    <col min="6919" max="6919" width="9.33203125" style="1329" customWidth="1"/>
    <col min="6920" max="6924" width="7.5546875" style="1329" customWidth="1"/>
    <col min="6925" max="7167" width="11.5546875" style="1329"/>
    <col min="7168" max="7168" width="18.44140625" style="1329" customWidth="1"/>
    <col min="7169" max="7169" width="8.33203125" style="1329" customWidth="1"/>
    <col min="7170" max="7174" width="8.44140625" style="1329" customWidth="1"/>
    <col min="7175" max="7175" width="9.33203125" style="1329" customWidth="1"/>
    <col min="7176" max="7180" width="7.5546875" style="1329" customWidth="1"/>
    <col min="7181" max="7423" width="11.5546875" style="1329"/>
    <col min="7424" max="7424" width="18.44140625" style="1329" customWidth="1"/>
    <col min="7425" max="7425" width="8.33203125" style="1329" customWidth="1"/>
    <col min="7426" max="7430" width="8.44140625" style="1329" customWidth="1"/>
    <col min="7431" max="7431" width="9.33203125" style="1329" customWidth="1"/>
    <col min="7432" max="7436" width="7.5546875" style="1329" customWidth="1"/>
    <col min="7437" max="7679" width="11.5546875" style="1329"/>
    <col min="7680" max="7680" width="18.44140625" style="1329" customWidth="1"/>
    <col min="7681" max="7681" width="8.33203125" style="1329" customWidth="1"/>
    <col min="7682" max="7686" width="8.44140625" style="1329" customWidth="1"/>
    <col min="7687" max="7687" width="9.33203125" style="1329" customWidth="1"/>
    <col min="7688" max="7692" width="7.5546875" style="1329" customWidth="1"/>
    <col min="7693" max="7935" width="11.5546875" style="1329"/>
    <col min="7936" max="7936" width="18.44140625" style="1329" customWidth="1"/>
    <col min="7937" max="7937" width="8.33203125" style="1329" customWidth="1"/>
    <col min="7938" max="7942" width="8.44140625" style="1329" customWidth="1"/>
    <col min="7943" max="7943" width="9.33203125" style="1329" customWidth="1"/>
    <col min="7944" max="7948" width="7.5546875" style="1329" customWidth="1"/>
    <col min="7949" max="8191" width="11.5546875" style="1329"/>
    <col min="8192" max="8192" width="18.44140625" style="1329" customWidth="1"/>
    <col min="8193" max="8193" width="8.33203125" style="1329" customWidth="1"/>
    <col min="8194" max="8198" width="8.44140625" style="1329" customWidth="1"/>
    <col min="8199" max="8199" width="9.33203125" style="1329" customWidth="1"/>
    <col min="8200" max="8204" width="7.5546875" style="1329" customWidth="1"/>
    <col min="8205" max="8447" width="11.5546875" style="1329"/>
    <col min="8448" max="8448" width="18.44140625" style="1329" customWidth="1"/>
    <col min="8449" max="8449" width="8.33203125" style="1329" customWidth="1"/>
    <col min="8450" max="8454" width="8.44140625" style="1329" customWidth="1"/>
    <col min="8455" max="8455" width="9.33203125" style="1329" customWidth="1"/>
    <col min="8456" max="8460" width="7.5546875" style="1329" customWidth="1"/>
    <col min="8461" max="8703" width="11.5546875" style="1329"/>
    <col min="8704" max="8704" width="18.44140625" style="1329" customWidth="1"/>
    <col min="8705" max="8705" width="8.33203125" style="1329" customWidth="1"/>
    <col min="8706" max="8710" width="8.44140625" style="1329" customWidth="1"/>
    <col min="8711" max="8711" width="9.33203125" style="1329" customWidth="1"/>
    <col min="8712" max="8716" width="7.5546875" style="1329" customWidth="1"/>
    <col min="8717" max="8959" width="11.5546875" style="1329"/>
    <col min="8960" max="8960" width="18.44140625" style="1329" customWidth="1"/>
    <col min="8961" max="8961" width="8.33203125" style="1329" customWidth="1"/>
    <col min="8962" max="8966" width="8.44140625" style="1329" customWidth="1"/>
    <col min="8967" max="8967" width="9.33203125" style="1329" customWidth="1"/>
    <col min="8968" max="8972" width="7.5546875" style="1329" customWidth="1"/>
    <col min="8973" max="9215" width="11.5546875" style="1329"/>
    <col min="9216" max="9216" width="18.44140625" style="1329" customWidth="1"/>
    <col min="9217" max="9217" width="8.33203125" style="1329" customWidth="1"/>
    <col min="9218" max="9222" width="8.44140625" style="1329" customWidth="1"/>
    <col min="9223" max="9223" width="9.33203125" style="1329" customWidth="1"/>
    <col min="9224" max="9228" width="7.5546875" style="1329" customWidth="1"/>
    <col min="9229" max="9471" width="11.5546875" style="1329"/>
    <col min="9472" max="9472" width="18.44140625" style="1329" customWidth="1"/>
    <col min="9473" max="9473" width="8.33203125" style="1329" customWidth="1"/>
    <col min="9474" max="9478" width="8.44140625" style="1329" customWidth="1"/>
    <col min="9479" max="9479" width="9.33203125" style="1329" customWidth="1"/>
    <col min="9480" max="9484" width="7.5546875" style="1329" customWidth="1"/>
    <col min="9485" max="9727" width="11.5546875" style="1329"/>
    <col min="9728" max="9728" width="18.44140625" style="1329" customWidth="1"/>
    <col min="9729" max="9729" width="8.33203125" style="1329" customWidth="1"/>
    <col min="9730" max="9734" width="8.44140625" style="1329" customWidth="1"/>
    <col min="9735" max="9735" width="9.33203125" style="1329" customWidth="1"/>
    <col min="9736" max="9740" width="7.5546875" style="1329" customWidth="1"/>
    <col min="9741" max="9983" width="11.5546875" style="1329"/>
    <col min="9984" max="9984" width="18.44140625" style="1329" customWidth="1"/>
    <col min="9985" max="9985" width="8.33203125" style="1329" customWidth="1"/>
    <col min="9986" max="9990" width="8.44140625" style="1329" customWidth="1"/>
    <col min="9991" max="9991" width="9.33203125" style="1329" customWidth="1"/>
    <col min="9992" max="9996" width="7.5546875" style="1329" customWidth="1"/>
    <col min="9997" max="10239" width="11.5546875" style="1329"/>
    <col min="10240" max="10240" width="18.44140625" style="1329" customWidth="1"/>
    <col min="10241" max="10241" width="8.33203125" style="1329" customWidth="1"/>
    <col min="10242" max="10246" width="8.44140625" style="1329" customWidth="1"/>
    <col min="10247" max="10247" width="9.33203125" style="1329" customWidth="1"/>
    <col min="10248" max="10252" width="7.5546875" style="1329" customWidth="1"/>
    <col min="10253" max="10495" width="11.5546875" style="1329"/>
    <col min="10496" max="10496" width="18.44140625" style="1329" customWidth="1"/>
    <col min="10497" max="10497" width="8.33203125" style="1329" customWidth="1"/>
    <col min="10498" max="10502" width="8.44140625" style="1329" customWidth="1"/>
    <col min="10503" max="10503" width="9.33203125" style="1329" customWidth="1"/>
    <col min="10504" max="10508" width="7.5546875" style="1329" customWidth="1"/>
    <col min="10509" max="10751" width="11.5546875" style="1329"/>
    <col min="10752" max="10752" width="18.44140625" style="1329" customWidth="1"/>
    <col min="10753" max="10753" width="8.33203125" style="1329" customWidth="1"/>
    <col min="10754" max="10758" width="8.44140625" style="1329" customWidth="1"/>
    <col min="10759" max="10759" width="9.33203125" style="1329" customWidth="1"/>
    <col min="10760" max="10764" width="7.5546875" style="1329" customWidth="1"/>
    <col min="10765" max="11007" width="11.5546875" style="1329"/>
    <col min="11008" max="11008" width="18.44140625" style="1329" customWidth="1"/>
    <col min="11009" max="11009" width="8.33203125" style="1329" customWidth="1"/>
    <col min="11010" max="11014" width="8.44140625" style="1329" customWidth="1"/>
    <col min="11015" max="11015" width="9.33203125" style="1329" customWidth="1"/>
    <col min="11016" max="11020" width="7.5546875" style="1329" customWidth="1"/>
    <col min="11021" max="11263" width="11.5546875" style="1329"/>
    <col min="11264" max="11264" width="18.44140625" style="1329" customWidth="1"/>
    <col min="11265" max="11265" width="8.33203125" style="1329" customWidth="1"/>
    <col min="11266" max="11270" width="8.44140625" style="1329" customWidth="1"/>
    <col min="11271" max="11271" width="9.33203125" style="1329" customWidth="1"/>
    <col min="11272" max="11276" width="7.5546875" style="1329" customWidth="1"/>
    <col min="11277" max="11519" width="11.5546875" style="1329"/>
    <col min="11520" max="11520" width="18.44140625" style="1329" customWidth="1"/>
    <col min="11521" max="11521" width="8.33203125" style="1329" customWidth="1"/>
    <col min="11522" max="11526" width="8.44140625" style="1329" customWidth="1"/>
    <col min="11527" max="11527" width="9.33203125" style="1329" customWidth="1"/>
    <col min="11528" max="11532" width="7.5546875" style="1329" customWidth="1"/>
    <col min="11533" max="11775" width="11.5546875" style="1329"/>
    <col min="11776" max="11776" width="18.44140625" style="1329" customWidth="1"/>
    <col min="11777" max="11777" width="8.33203125" style="1329" customWidth="1"/>
    <col min="11778" max="11782" width="8.44140625" style="1329" customWidth="1"/>
    <col min="11783" max="11783" width="9.33203125" style="1329" customWidth="1"/>
    <col min="11784" max="11788" width="7.5546875" style="1329" customWidth="1"/>
    <col min="11789" max="12031" width="11.5546875" style="1329"/>
    <col min="12032" max="12032" width="18.44140625" style="1329" customWidth="1"/>
    <col min="12033" max="12033" width="8.33203125" style="1329" customWidth="1"/>
    <col min="12034" max="12038" width="8.44140625" style="1329" customWidth="1"/>
    <col min="12039" max="12039" width="9.33203125" style="1329" customWidth="1"/>
    <col min="12040" max="12044" width="7.5546875" style="1329" customWidth="1"/>
    <col min="12045" max="12287" width="11.5546875" style="1329"/>
    <col min="12288" max="12288" width="18.44140625" style="1329" customWidth="1"/>
    <col min="12289" max="12289" width="8.33203125" style="1329" customWidth="1"/>
    <col min="12290" max="12294" width="8.44140625" style="1329" customWidth="1"/>
    <col min="12295" max="12295" width="9.33203125" style="1329" customWidth="1"/>
    <col min="12296" max="12300" width="7.5546875" style="1329" customWidth="1"/>
    <col min="12301" max="12543" width="11.5546875" style="1329"/>
    <col min="12544" max="12544" width="18.44140625" style="1329" customWidth="1"/>
    <col min="12545" max="12545" width="8.33203125" style="1329" customWidth="1"/>
    <col min="12546" max="12550" width="8.44140625" style="1329" customWidth="1"/>
    <col min="12551" max="12551" width="9.33203125" style="1329" customWidth="1"/>
    <col min="12552" max="12556" width="7.5546875" style="1329" customWidth="1"/>
    <col min="12557" max="12799" width="11.5546875" style="1329"/>
    <col min="12800" max="12800" width="18.44140625" style="1329" customWidth="1"/>
    <col min="12801" max="12801" width="8.33203125" style="1329" customWidth="1"/>
    <col min="12802" max="12806" width="8.44140625" style="1329" customWidth="1"/>
    <col min="12807" max="12807" width="9.33203125" style="1329" customWidth="1"/>
    <col min="12808" max="12812" width="7.5546875" style="1329" customWidth="1"/>
    <col min="12813" max="13055" width="11.5546875" style="1329"/>
    <col min="13056" max="13056" width="18.44140625" style="1329" customWidth="1"/>
    <col min="13057" max="13057" width="8.33203125" style="1329" customWidth="1"/>
    <col min="13058" max="13062" width="8.44140625" style="1329" customWidth="1"/>
    <col min="13063" max="13063" width="9.33203125" style="1329" customWidth="1"/>
    <col min="13064" max="13068" width="7.5546875" style="1329" customWidth="1"/>
    <col min="13069" max="13311" width="11.5546875" style="1329"/>
    <col min="13312" max="13312" width="18.44140625" style="1329" customWidth="1"/>
    <col min="13313" max="13313" width="8.33203125" style="1329" customWidth="1"/>
    <col min="13314" max="13318" width="8.44140625" style="1329" customWidth="1"/>
    <col min="13319" max="13319" width="9.33203125" style="1329" customWidth="1"/>
    <col min="13320" max="13324" width="7.5546875" style="1329" customWidth="1"/>
    <col min="13325" max="13567" width="11.5546875" style="1329"/>
    <col min="13568" max="13568" width="18.44140625" style="1329" customWidth="1"/>
    <col min="13569" max="13569" width="8.33203125" style="1329" customWidth="1"/>
    <col min="13570" max="13574" width="8.44140625" style="1329" customWidth="1"/>
    <col min="13575" max="13575" width="9.33203125" style="1329" customWidth="1"/>
    <col min="13576" max="13580" width="7.5546875" style="1329" customWidth="1"/>
    <col min="13581" max="13823" width="11.5546875" style="1329"/>
    <col min="13824" max="13824" width="18.44140625" style="1329" customWidth="1"/>
    <col min="13825" max="13825" width="8.33203125" style="1329" customWidth="1"/>
    <col min="13826" max="13830" width="8.44140625" style="1329" customWidth="1"/>
    <col min="13831" max="13831" width="9.33203125" style="1329" customWidth="1"/>
    <col min="13832" max="13836" width="7.5546875" style="1329" customWidth="1"/>
    <col min="13837" max="14079" width="11.5546875" style="1329"/>
    <col min="14080" max="14080" width="18.44140625" style="1329" customWidth="1"/>
    <col min="14081" max="14081" width="8.33203125" style="1329" customWidth="1"/>
    <col min="14082" max="14086" width="8.44140625" style="1329" customWidth="1"/>
    <col min="14087" max="14087" width="9.33203125" style="1329" customWidth="1"/>
    <col min="14088" max="14092" width="7.5546875" style="1329" customWidth="1"/>
    <col min="14093" max="14335" width="11.5546875" style="1329"/>
    <col min="14336" max="14336" width="18.44140625" style="1329" customWidth="1"/>
    <col min="14337" max="14337" width="8.33203125" style="1329" customWidth="1"/>
    <col min="14338" max="14342" width="8.44140625" style="1329" customWidth="1"/>
    <col min="14343" max="14343" width="9.33203125" style="1329" customWidth="1"/>
    <col min="14344" max="14348" width="7.5546875" style="1329" customWidth="1"/>
    <col min="14349" max="14591" width="11.5546875" style="1329"/>
    <col min="14592" max="14592" width="18.44140625" style="1329" customWidth="1"/>
    <col min="14593" max="14593" width="8.33203125" style="1329" customWidth="1"/>
    <col min="14594" max="14598" width="8.44140625" style="1329" customWidth="1"/>
    <col min="14599" max="14599" width="9.33203125" style="1329" customWidth="1"/>
    <col min="14600" max="14604" width="7.5546875" style="1329" customWidth="1"/>
    <col min="14605" max="14847" width="11.5546875" style="1329"/>
    <col min="14848" max="14848" width="18.44140625" style="1329" customWidth="1"/>
    <col min="14849" max="14849" width="8.33203125" style="1329" customWidth="1"/>
    <col min="14850" max="14854" width="8.44140625" style="1329" customWidth="1"/>
    <col min="14855" max="14855" width="9.33203125" style="1329" customWidth="1"/>
    <col min="14856" max="14860" width="7.5546875" style="1329" customWidth="1"/>
    <col min="14861" max="15103" width="11.5546875" style="1329"/>
    <col min="15104" max="15104" width="18.44140625" style="1329" customWidth="1"/>
    <col min="15105" max="15105" width="8.33203125" style="1329" customWidth="1"/>
    <col min="15106" max="15110" width="8.44140625" style="1329" customWidth="1"/>
    <col min="15111" max="15111" width="9.33203125" style="1329" customWidth="1"/>
    <col min="15112" max="15116" width="7.5546875" style="1329" customWidth="1"/>
    <col min="15117" max="15359" width="11.5546875" style="1329"/>
    <col min="15360" max="15360" width="18.44140625" style="1329" customWidth="1"/>
    <col min="15361" max="15361" width="8.33203125" style="1329" customWidth="1"/>
    <col min="15362" max="15366" width="8.44140625" style="1329" customWidth="1"/>
    <col min="15367" max="15367" width="9.33203125" style="1329" customWidth="1"/>
    <col min="15368" max="15372" width="7.5546875" style="1329" customWidth="1"/>
    <col min="15373" max="15615" width="11.5546875" style="1329"/>
    <col min="15616" max="15616" width="18.44140625" style="1329" customWidth="1"/>
    <col min="15617" max="15617" width="8.33203125" style="1329" customWidth="1"/>
    <col min="15618" max="15622" width="8.44140625" style="1329" customWidth="1"/>
    <col min="15623" max="15623" width="9.33203125" style="1329" customWidth="1"/>
    <col min="15624" max="15628" width="7.5546875" style="1329" customWidth="1"/>
    <col min="15629" max="15871" width="11.5546875" style="1329"/>
    <col min="15872" max="15872" width="18.44140625" style="1329" customWidth="1"/>
    <col min="15873" max="15873" width="8.33203125" style="1329" customWidth="1"/>
    <col min="15874" max="15878" width="8.44140625" style="1329" customWidth="1"/>
    <col min="15879" max="15879" width="9.33203125" style="1329" customWidth="1"/>
    <col min="15880" max="15884" width="7.5546875" style="1329" customWidth="1"/>
    <col min="15885" max="16127" width="11.5546875" style="1329"/>
    <col min="16128" max="16128" width="18.44140625" style="1329" customWidth="1"/>
    <col min="16129" max="16129" width="8.33203125" style="1329" customWidth="1"/>
    <col min="16130" max="16134" width="8.44140625" style="1329" customWidth="1"/>
    <col min="16135" max="16135" width="9.33203125" style="1329" customWidth="1"/>
    <col min="16136" max="16140" width="7.5546875" style="1329" customWidth="1"/>
    <col min="16141" max="16384" width="11.5546875" style="1329"/>
  </cols>
  <sheetData>
    <row r="1" spans="1:16" ht="14.4" x14ac:dyDescent="0.3">
      <c r="A1" s="859" t="s">
        <v>753</v>
      </c>
      <c r="B1" s="54" t="str">
        <f>+Info!C10</f>
        <v>Clinique Ste-Mammo</v>
      </c>
      <c r="C1" s="55"/>
      <c r="D1" s="55"/>
      <c r="E1" s="56" t="s">
        <v>755</v>
      </c>
      <c r="F1" s="55"/>
      <c r="G1" s="55"/>
      <c r="H1" s="55"/>
      <c r="I1" s="203" t="str">
        <f>+Info!C37</f>
        <v>20-01-2020</v>
      </c>
      <c r="J1" s="1327"/>
      <c r="K1" s="1328"/>
      <c r="L1" s="1328"/>
      <c r="M1" s="1328"/>
      <c r="N1" s="1328"/>
      <c r="O1" s="1328"/>
      <c r="P1" s="1328"/>
    </row>
    <row r="2" spans="1:16" ht="14.4" x14ac:dyDescent="0.3">
      <c r="A2" s="58" t="s">
        <v>754</v>
      </c>
      <c r="B2" s="59" t="str">
        <f>+Info!C21</f>
        <v>Salle 2, Hirad IV</v>
      </c>
      <c r="C2" s="51"/>
      <c r="D2" s="51"/>
      <c r="E2" s="60" t="s">
        <v>756</v>
      </c>
      <c r="F2" s="51"/>
      <c r="G2" s="51"/>
      <c r="H2" s="51"/>
      <c r="I2" s="61" t="str">
        <f>+Info!C35</f>
        <v>Alexandre Toussaint</v>
      </c>
      <c r="J2" s="1327"/>
      <c r="K2" s="1328"/>
      <c r="L2" s="1328"/>
      <c r="M2" s="1328"/>
      <c r="N2" s="1328"/>
      <c r="O2" s="1328"/>
      <c r="P2" s="1328"/>
    </row>
    <row r="3" spans="1:16" ht="14.4" x14ac:dyDescent="0.3">
      <c r="A3" s="1330"/>
      <c r="B3" s="1330"/>
      <c r="C3" s="1330"/>
      <c r="D3" s="1330"/>
      <c r="E3" s="1330"/>
      <c r="F3" s="1330"/>
      <c r="G3" s="1330"/>
      <c r="H3" s="1330"/>
      <c r="I3" s="1330"/>
      <c r="J3" s="1331"/>
      <c r="K3" s="1332" t="s">
        <v>200</v>
      </c>
      <c r="L3" s="1328"/>
      <c r="M3" s="1333" t="s">
        <v>452</v>
      </c>
      <c r="N3" s="1334" t="s">
        <v>169</v>
      </c>
      <c r="O3" s="1328"/>
      <c r="P3" s="1328"/>
    </row>
    <row r="4" spans="1:16" ht="14.25" customHeight="1" x14ac:dyDescent="0.3">
      <c r="A4" s="1335" t="s">
        <v>799</v>
      </c>
      <c r="B4" s="1336"/>
      <c r="C4" s="1336"/>
      <c r="D4" s="1330"/>
      <c r="E4" s="1330"/>
      <c r="F4" s="1330"/>
      <c r="G4" s="1330"/>
      <c r="H4" s="1330"/>
      <c r="I4" s="1336"/>
      <c r="J4" s="1331"/>
      <c r="K4" s="1337" t="s">
        <v>66</v>
      </c>
      <c r="L4" s="1328"/>
      <c r="M4" s="1333" t="s">
        <v>142</v>
      </c>
      <c r="N4" s="1334" t="s">
        <v>467</v>
      </c>
      <c r="O4" s="1328"/>
      <c r="P4" s="1328"/>
    </row>
    <row r="5" spans="1:16" ht="12" customHeight="1" x14ac:dyDescent="0.3">
      <c r="A5" s="1338"/>
      <c r="B5" s="1338"/>
      <c r="C5" s="1338"/>
      <c r="D5" s="1330"/>
      <c r="E5" s="1330"/>
      <c r="F5" s="1330"/>
      <c r="G5" s="1330"/>
      <c r="H5" s="1330"/>
      <c r="I5" s="1339"/>
      <c r="J5" s="1331"/>
      <c r="K5" s="1337" t="s">
        <v>123</v>
      </c>
      <c r="L5" s="1328"/>
      <c r="M5" s="1333" t="s">
        <v>143</v>
      </c>
      <c r="N5" s="1334" t="s">
        <v>468</v>
      </c>
      <c r="O5" s="1328"/>
      <c r="P5" s="1328"/>
    </row>
    <row r="6" spans="1:16" ht="12" customHeight="1" x14ac:dyDescent="0.3">
      <c r="A6" s="1340" t="s">
        <v>792</v>
      </c>
      <c r="B6" s="1341"/>
      <c r="C6" s="1339"/>
      <c r="D6" s="1330"/>
      <c r="E6" s="1330"/>
      <c r="F6" s="1330"/>
      <c r="G6" s="1330"/>
      <c r="H6" s="1330"/>
      <c r="I6" s="1330"/>
      <c r="J6" s="1331"/>
      <c r="K6" s="1337" t="s">
        <v>124</v>
      </c>
      <c r="L6" s="1328"/>
      <c r="M6" s="1333" t="s">
        <v>569</v>
      </c>
      <c r="N6" s="1328"/>
      <c r="O6" s="1328"/>
      <c r="P6" s="1328"/>
    </row>
    <row r="7" spans="1:16" ht="15.75" customHeight="1" x14ac:dyDescent="0.3">
      <c r="A7" s="1342" t="s">
        <v>793</v>
      </c>
      <c r="B7" s="1599">
        <v>45</v>
      </c>
      <c r="C7" s="1599"/>
      <c r="D7" s="1330"/>
      <c r="E7" s="1330"/>
      <c r="F7" s="1330"/>
      <c r="G7" s="1330"/>
      <c r="H7" s="1330"/>
      <c r="I7" s="1339"/>
      <c r="J7" s="1331"/>
      <c r="K7" s="1337" t="s">
        <v>202</v>
      </c>
      <c r="L7" s="1328"/>
      <c r="M7" s="1343"/>
      <c r="N7" s="1328"/>
      <c r="O7" s="1328"/>
      <c r="P7" s="1328"/>
    </row>
    <row r="8" spans="1:16" s="1071" customFormat="1" ht="15" customHeight="1" x14ac:dyDescent="0.3">
      <c r="A8" s="1342" t="s">
        <v>794</v>
      </c>
      <c r="B8" s="1599">
        <v>30</v>
      </c>
      <c r="C8" s="1599"/>
      <c r="D8" s="1330"/>
      <c r="E8" s="1344"/>
      <c r="F8" s="1330"/>
      <c r="G8" s="1330"/>
      <c r="H8" s="1330"/>
      <c r="I8" s="1072"/>
      <c r="J8" s="1345"/>
      <c r="K8" s="1337" t="s">
        <v>203</v>
      </c>
      <c r="L8" s="1346"/>
      <c r="M8" s="1346"/>
      <c r="N8" s="1346"/>
      <c r="O8" s="1346"/>
      <c r="P8" s="1346"/>
    </row>
    <row r="9" spans="1:16" ht="12" customHeight="1" x14ac:dyDescent="0.3">
      <c r="A9" s="1342" t="s">
        <v>795</v>
      </c>
      <c r="B9" s="1599" t="s">
        <v>436</v>
      </c>
      <c r="C9" s="1599"/>
      <c r="D9" s="1330"/>
      <c r="E9" s="1330"/>
      <c r="F9" s="1330"/>
      <c r="G9" s="1330"/>
      <c r="H9" s="1330"/>
      <c r="I9" s="1339"/>
      <c r="J9" s="1331"/>
      <c r="K9" s="1337" t="s">
        <v>204</v>
      </c>
      <c r="L9" s="1328"/>
      <c r="M9" s="1328"/>
      <c r="N9" s="1328"/>
      <c r="O9" s="1328"/>
      <c r="P9" s="1328"/>
    </row>
    <row r="10" spans="1:16" ht="12" customHeight="1" x14ac:dyDescent="0.3">
      <c r="A10" s="1342" t="s">
        <v>796</v>
      </c>
      <c r="B10" s="1599">
        <v>0</v>
      </c>
      <c r="C10" s="1599"/>
      <c r="D10" s="1330"/>
      <c r="E10" s="1330"/>
      <c r="F10" s="1330"/>
      <c r="G10" s="1330"/>
      <c r="H10" s="1330"/>
      <c r="I10" s="1339"/>
      <c r="J10" s="1331"/>
      <c r="K10" s="1347" t="s">
        <v>912</v>
      </c>
      <c r="L10" s="1328"/>
      <c r="M10" s="1328"/>
      <c r="N10" s="1328"/>
      <c r="O10" s="1328"/>
      <c r="P10" s="1328"/>
    </row>
    <row r="11" spans="1:16" ht="12" customHeight="1" x14ac:dyDescent="0.3">
      <c r="A11" s="1342" t="s">
        <v>797</v>
      </c>
      <c r="B11" s="1599" t="s">
        <v>437</v>
      </c>
      <c r="C11" s="1599"/>
      <c r="D11" s="1330"/>
      <c r="E11" s="1330"/>
      <c r="F11" s="1330"/>
      <c r="G11" s="1330"/>
      <c r="H11" s="1330"/>
      <c r="I11" s="1339"/>
      <c r="J11" s="1331"/>
      <c r="K11" s="1328"/>
      <c r="L11" s="1328"/>
      <c r="M11" s="1328"/>
      <c r="N11" s="1328"/>
      <c r="O11" s="1328"/>
      <c r="P11" s="1328"/>
    </row>
    <row r="12" spans="1:16" ht="12" customHeight="1" x14ac:dyDescent="0.3">
      <c r="A12" s="1342" t="s">
        <v>798</v>
      </c>
      <c r="B12" s="1600" t="s">
        <v>467</v>
      </c>
      <c r="C12" s="1600"/>
      <c r="D12" s="1330"/>
      <c r="E12" s="1330"/>
      <c r="F12" s="1330"/>
      <c r="G12" s="1330"/>
      <c r="H12" s="1330"/>
      <c r="I12" s="1339"/>
      <c r="J12" s="1331"/>
      <c r="K12" s="1328"/>
      <c r="L12" s="1328"/>
      <c r="M12" s="1328"/>
      <c r="N12" s="1328"/>
      <c r="O12" s="1328"/>
      <c r="P12" s="1328"/>
    </row>
    <row r="13" spans="1:16" ht="10.5" customHeight="1" x14ac:dyDescent="0.3">
      <c r="A13" s="1072"/>
      <c r="B13" s="1330"/>
      <c r="C13" s="1330"/>
      <c r="D13" s="1072"/>
      <c r="E13" s="1072"/>
      <c r="F13" s="1072"/>
      <c r="G13" s="1072"/>
      <c r="H13" s="1072"/>
      <c r="I13" s="1339"/>
      <c r="J13" s="1331"/>
      <c r="K13" s="1328"/>
      <c r="L13" s="1328"/>
      <c r="M13" s="1328"/>
      <c r="N13" s="1328"/>
      <c r="O13" s="1328"/>
      <c r="P13" s="1328"/>
    </row>
    <row r="14" spans="1:16" ht="12" customHeight="1" x14ac:dyDescent="0.3">
      <c r="A14" s="1348" t="s">
        <v>122</v>
      </c>
      <c r="B14" s="1349" t="s">
        <v>142</v>
      </c>
      <c r="C14" s="1349" t="s">
        <v>60</v>
      </c>
      <c r="D14" s="1349" t="s">
        <v>60</v>
      </c>
      <c r="E14" s="1349" t="s">
        <v>60</v>
      </c>
      <c r="F14" s="1349" t="s">
        <v>60</v>
      </c>
      <c r="G14" s="1349" t="s">
        <v>569</v>
      </c>
      <c r="H14" s="1601" t="s">
        <v>15</v>
      </c>
      <c r="I14" s="1601"/>
      <c r="J14" s="1331"/>
      <c r="K14" s="1333" t="s">
        <v>899</v>
      </c>
      <c r="L14" s="1333"/>
      <c r="M14" s="1333"/>
      <c r="N14" s="1333"/>
      <c r="O14" s="1328"/>
      <c r="P14" s="1328"/>
    </row>
    <row r="15" spans="1:16" ht="12" customHeight="1" x14ac:dyDescent="0.3">
      <c r="A15" s="1350"/>
      <c r="B15" s="1351"/>
      <c r="C15" s="1351"/>
      <c r="D15" s="1351"/>
      <c r="E15" s="1351"/>
      <c r="F15" s="1351"/>
      <c r="G15" s="1352"/>
      <c r="H15" s="1353" t="s">
        <v>16</v>
      </c>
      <c r="I15" s="1353" t="s">
        <v>17</v>
      </c>
      <c r="J15" s="1331"/>
      <c r="K15" s="1333" t="s">
        <v>547</v>
      </c>
      <c r="L15" s="1333"/>
      <c r="M15" s="1333"/>
      <c r="N15" s="1333"/>
      <c r="O15" s="1328"/>
      <c r="P15" s="1328"/>
    </row>
    <row r="16" spans="1:16" ht="12" customHeight="1" x14ac:dyDescent="0.3">
      <c r="A16" s="1354" t="s">
        <v>394</v>
      </c>
      <c r="B16" s="1355" t="s">
        <v>123</v>
      </c>
      <c r="C16" s="1355" t="s">
        <v>123</v>
      </c>
      <c r="D16" s="1355" t="s">
        <v>205</v>
      </c>
      <c r="E16" s="1355" t="s">
        <v>205</v>
      </c>
      <c r="F16" s="1355" t="s">
        <v>205</v>
      </c>
      <c r="G16" s="1355" t="s">
        <v>205</v>
      </c>
      <c r="H16" s="1602"/>
      <c r="I16" s="1603"/>
      <c r="J16" s="1331"/>
      <c r="K16" s="1333" t="s">
        <v>954</v>
      </c>
      <c r="L16" s="1333"/>
      <c r="M16" s="1333"/>
      <c r="N16" s="1333"/>
      <c r="O16" s="1328"/>
      <c r="P16" s="1328"/>
    </row>
    <row r="17" spans="1:16" ht="12" customHeight="1" x14ac:dyDescent="0.3">
      <c r="A17" s="1356"/>
      <c r="B17" s="1357" t="s">
        <v>305</v>
      </c>
      <c r="C17" s="1357"/>
      <c r="D17" s="1357"/>
      <c r="E17" s="1357"/>
      <c r="F17" s="1357"/>
      <c r="G17" s="1357"/>
      <c r="H17" s="1604"/>
      <c r="I17" s="1605"/>
      <c r="J17" s="1331"/>
      <c r="K17" s="1328"/>
      <c r="L17" s="1328"/>
      <c r="M17" s="1328"/>
      <c r="N17" s="1328"/>
      <c r="O17" s="1328"/>
      <c r="P17" s="1328"/>
    </row>
    <row r="18" spans="1:16" ht="14.1" customHeight="1" x14ac:dyDescent="0.3">
      <c r="A18" s="1358" t="s">
        <v>125</v>
      </c>
      <c r="B18" s="1065"/>
      <c r="C18" s="1065"/>
      <c r="D18" s="1065"/>
      <c r="E18" s="1065"/>
      <c r="F18" s="1065"/>
      <c r="G18" s="1065"/>
      <c r="H18" s="192" t="s">
        <v>150</v>
      </c>
      <c r="I18" s="192"/>
      <c r="J18" s="1359"/>
      <c r="K18" s="1328"/>
      <c r="L18" s="1328"/>
      <c r="M18" s="1328"/>
      <c r="N18" s="1328"/>
      <c r="O18" s="1328"/>
      <c r="P18" s="1328"/>
    </row>
    <row r="19" spans="1:16" ht="14.1" customHeight="1" x14ac:dyDescent="0.3">
      <c r="A19" s="1350" t="s">
        <v>126</v>
      </c>
      <c r="B19" s="1065"/>
      <c r="C19" s="1065"/>
      <c r="D19" s="1065"/>
      <c r="E19" s="1065"/>
      <c r="F19" s="1065"/>
      <c r="G19" s="1065"/>
      <c r="H19" s="192" t="s">
        <v>150</v>
      </c>
      <c r="I19" s="192"/>
      <c r="J19" s="1359"/>
      <c r="K19" s="1328"/>
      <c r="L19" s="1328"/>
      <c r="M19" s="1328"/>
      <c r="N19" s="1328"/>
      <c r="O19" s="1328"/>
      <c r="P19" s="1328"/>
    </row>
    <row r="20" spans="1:16" ht="14.1" customHeight="1" x14ac:dyDescent="0.3">
      <c r="A20" s="1354" t="s">
        <v>127</v>
      </c>
      <c r="B20" s="1360"/>
      <c r="C20" s="1360"/>
      <c r="D20" s="1360"/>
      <c r="E20" s="1360"/>
      <c r="F20" s="1360"/>
      <c r="G20" s="1361"/>
      <c r="H20" s="192" t="s">
        <v>150</v>
      </c>
      <c r="I20" s="192"/>
      <c r="J20" s="1359"/>
      <c r="K20" s="1328"/>
      <c r="L20" s="1328"/>
      <c r="M20" s="1328"/>
      <c r="N20" s="1328"/>
      <c r="O20" s="1328"/>
      <c r="P20" s="1328"/>
    </row>
    <row r="21" spans="1:16" ht="14.1" customHeight="1" x14ac:dyDescent="0.3">
      <c r="A21" s="1354" t="s">
        <v>128</v>
      </c>
      <c r="B21" s="1362"/>
      <c r="C21" s="1362"/>
      <c r="D21" s="1362"/>
      <c r="E21" s="1362"/>
      <c r="F21" s="1362"/>
      <c r="G21" s="1363"/>
      <c r="H21" s="192" t="s">
        <v>150</v>
      </c>
      <c r="I21" s="192"/>
      <c r="J21" s="1359"/>
      <c r="K21" s="1328"/>
      <c r="L21" s="1328"/>
      <c r="M21" s="1328"/>
      <c r="N21" s="1328"/>
      <c r="O21" s="1328"/>
      <c r="P21" s="1328"/>
    </row>
    <row r="22" spans="1:16" ht="14.1" customHeight="1" x14ac:dyDescent="0.3">
      <c r="A22" s="1364" t="s">
        <v>649</v>
      </c>
      <c r="B22" s="1365"/>
      <c r="C22" s="1365"/>
      <c r="D22" s="1365"/>
      <c r="E22" s="1365"/>
      <c r="F22" s="1365"/>
      <c r="G22" s="1366"/>
      <c r="H22" s="192" t="s">
        <v>150</v>
      </c>
      <c r="I22" s="192"/>
      <c r="J22" s="1359"/>
      <c r="K22" s="1328"/>
      <c r="L22" s="1328"/>
      <c r="M22" s="1328"/>
      <c r="N22" s="1328"/>
      <c r="O22" s="1328"/>
      <c r="P22" s="1328"/>
    </row>
    <row r="23" spans="1:16" ht="14.1" customHeight="1" x14ac:dyDescent="0.3">
      <c r="A23" s="1364" t="s">
        <v>129</v>
      </c>
      <c r="B23" s="1362"/>
      <c r="C23" s="1362"/>
      <c r="D23" s="1362"/>
      <c r="E23" s="1362"/>
      <c r="F23" s="1362"/>
      <c r="G23" s="1363"/>
      <c r="H23" s="192" t="s">
        <v>150</v>
      </c>
      <c r="I23" s="192"/>
      <c r="J23" s="1359"/>
      <c r="K23" s="1328"/>
      <c r="L23" s="1328"/>
      <c r="M23" s="1328"/>
      <c r="N23" s="1328"/>
      <c r="O23" s="1328"/>
      <c r="P23" s="1328"/>
    </row>
    <row r="24" spans="1:16" ht="14.1" customHeight="1" x14ac:dyDescent="0.3">
      <c r="A24" s="1367" t="s">
        <v>130</v>
      </c>
      <c r="B24" s="1362"/>
      <c r="C24" s="1362"/>
      <c r="D24" s="1362"/>
      <c r="E24" s="1362"/>
      <c r="F24" s="1362"/>
      <c r="G24" s="1363"/>
      <c r="H24" s="192" t="s">
        <v>150</v>
      </c>
      <c r="I24" s="192"/>
      <c r="J24" s="1359"/>
      <c r="K24" s="1328"/>
      <c r="L24" s="1328"/>
      <c r="M24" s="1328"/>
      <c r="N24" s="1328"/>
      <c r="O24" s="1328"/>
      <c r="P24" s="1328"/>
    </row>
    <row r="25" spans="1:16" ht="14.1" customHeight="1" x14ac:dyDescent="0.3">
      <c r="A25" s="1367" t="s">
        <v>131</v>
      </c>
      <c r="B25" s="1365"/>
      <c r="C25" s="1365"/>
      <c r="D25" s="1365"/>
      <c r="E25" s="1365"/>
      <c r="F25" s="1365"/>
      <c r="G25" s="1366"/>
      <c r="H25" s="192" t="s">
        <v>150</v>
      </c>
      <c r="I25" s="192"/>
      <c r="J25" s="1359"/>
      <c r="K25" s="1328"/>
      <c r="L25" s="1328"/>
      <c r="M25" s="1328"/>
      <c r="N25" s="1328"/>
      <c r="O25" s="1328"/>
      <c r="P25" s="1328"/>
    </row>
    <row r="26" spans="1:16" ht="14.1" customHeight="1" x14ac:dyDescent="0.3">
      <c r="A26" s="1367" t="s">
        <v>132</v>
      </c>
      <c r="B26" s="1365"/>
      <c r="C26" s="1365"/>
      <c r="D26" s="1365"/>
      <c r="E26" s="1365"/>
      <c r="F26" s="1365"/>
      <c r="G26" s="1366"/>
      <c r="H26" s="192" t="s">
        <v>150</v>
      </c>
      <c r="I26" s="192"/>
      <c r="J26" s="1359"/>
      <c r="K26" s="1328"/>
      <c r="L26" s="1328"/>
      <c r="M26" s="1328"/>
      <c r="N26" s="1328"/>
      <c r="O26" s="1328"/>
      <c r="P26" s="1328"/>
    </row>
    <row r="27" spans="1:16" ht="14.1" customHeight="1" x14ac:dyDescent="0.3">
      <c r="A27" s="1368"/>
      <c r="B27" s="1369"/>
      <c r="C27" s="1369"/>
      <c r="D27" s="1369"/>
      <c r="E27" s="1369"/>
      <c r="F27" s="1369"/>
      <c r="G27" s="1370"/>
      <c r="H27" s="1353" t="s">
        <v>16</v>
      </c>
      <c r="I27" s="1353" t="s">
        <v>17</v>
      </c>
      <c r="J27" s="1331"/>
      <c r="K27" s="1328"/>
      <c r="L27" s="1328"/>
      <c r="M27" s="1328"/>
      <c r="N27" s="1328"/>
      <c r="O27" s="1328"/>
      <c r="P27" s="1328"/>
    </row>
    <row r="28" spans="1:16" ht="14.1" customHeight="1" x14ac:dyDescent="0.3">
      <c r="A28" s="1606" t="s">
        <v>650</v>
      </c>
      <c r="B28" s="1606"/>
      <c r="C28" s="1606"/>
      <c r="D28" s="1606"/>
      <c r="E28" s="1606"/>
      <c r="F28" s="1606"/>
      <c r="G28" s="1606"/>
      <c r="H28" s="192" t="s">
        <v>150</v>
      </c>
      <c r="I28" s="1371"/>
      <c r="J28" s="1359"/>
      <c r="K28" s="1328"/>
      <c r="L28" s="1328"/>
      <c r="M28" s="1328"/>
      <c r="N28" s="1328"/>
      <c r="O28" s="1328"/>
      <c r="P28" s="1328"/>
    </row>
    <row r="29" spans="1:16" ht="12" customHeight="1" x14ac:dyDescent="0.3">
      <c r="A29" s="1339"/>
      <c r="B29" s="1372"/>
      <c r="C29" s="1372"/>
      <c r="D29" s="1372"/>
      <c r="E29" s="1372"/>
      <c r="F29" s="1372"/>
      <c r="G29" s="1372"/>
      <c r="H29" s="1372"/>
      <c r="I29" s="1339"/>
      <c r="J29" s="1331"/>
      <c r="K29" s="1328"/>
      <c r="L29" s="1328"/>
      <c r="M29" s="1328"/>
      <c r="N29" s="1328"/>
      <c r="O29" s="1328"/>
      <c r="P29" s="1328"/>
    </row>
    <row r="30" spans="1:16" ht="14.4" x14ac:dyDescent="0.3">
      <c r="A30" s="1373" t="s">
        <v>778</v>
      </c>
      <c r="B30" s="1374"/>
      <c r="C30" s="1607"/>
      <c r="D30" s="1607"/>
      <c r="E30" s="1607"/>
      <c r="F30" s="1607"/>
      <c r="G30" s="1607"/>
      <c r="H30" s="1607"/>
      <c r="I30" s="1607"/>
      <c r="J30" s="1331"/>
      <c r="K30" s="1328"/>
      <c r="L30" s="1328"/>
      <c r="M30" s="1328"/>
      <c r="N30" s="1328"/>
      <c r="O30" s="1328"/>
      <c r="P30" s="1328"/>
    </row>
    <row r="31" spans="1:16" ht="14.4" x14ac:dyDescent="0.3">
      <c r="A31" s="1607"/>
      <c r="B31" s="1607"/>
      <c r="C31" s="1607"/>
      <c r="D31" s="1607"/>
      <c r="E31" s="1607"/>
      <c r="F31" s="1607"/>
      <c r="G31" s="1607"/>
      <c r="H31" s="1607"/>
      <c r="I31" s="1607"/>
      <c r="J31" s="1331"/>
      <c r="K31" s="1328"/>
      <c r="L31" s="1328"/>
      <c r="M31" s="1328"/>
      <c r="N31" s="1328"/>
      <c r="O31" s="1328"/>
      <c r="P31" s="1328"/>
    </row>
    <row r="32" spans="1:16" ht="14.4" x14ac:dyDescent="0.3">
      <c r="A32" s="1598"/>
      <c r="B32" s="1598"/>
      <c r="C32" s="1598"/>
      <c r="D32" s="1598"/>
      <c r="E32" s="1598"/>
      <c r="F32" s="1598"/>
      <c r="G32" s="1598"/>
      <c r="H32" s="1598"/>
      <c r="I32" s="1598"/>
      <c r="J32" s="1331"/>
      <c r="K32" s="1328"/>
      <c r="L32" s="1328"/>
      <c r="M32" s="1328"/>
      <c r="N32" s="1328"/>
      <c r="O32" s="1328"/>
      <c r="P32" s="1328"/>
    </row>
    <row r="33" spans="1:16" ht="14.4" x14ac:dyDescent="0.3">
      <c r="A33" s="1375"/>
      <c r="B33" s="1375"/>
      <c r="C33" s="1375"/>
      <c r="D33" s="1375"/>
      <c r="E33" s="1375"/>
      <c r="F33" s="1375"/>
      <c r="G33" s="1375"/>
      <c r="H33" s="1375"/>
      <c r="I33" s="1339"/>
      <c r="J33" s="1331"/>
      <c r="K33" s="1328"/>
      <c r="L33" s="1328"/>
      <c r="M33" s="1328"/>
      <c r="N33" s="1328"/>
      <c r="O33" s="1328"/>
      <c r="P33" s="1328"/>
    </row>
    <row r="34" spans="1:16" ht="12" customHeight="1" x14ac:dyDescent="0.3">
      <c r="A34" s="1376" t="s">
        <v>133</v>
      </c>
      <c r="B34" s="1376"/>
      <c r="C34" s="1376"/>
      <c r="D34" s="1376"/>
      <c r="E34" s="1376"/>
      <c r="F34" s="1376"/>
      <c r="G34" s="1376"/>
      <c r="H34" s="1376"/>
      <c r="I34" s="1339"/>
      <c r="J34" s="1331"/>
      <c r="K34" s="1328"/>
      <c r="L34" s="1328"/>
      <c r="M34" s="1328"/>
      <c r="N34" s="1328"/>
      <c r="O34" s="1328"/>
      <c r="P34" s="1328"/>
    </row>
    <row r="35" spans="1:16" ht="12" customHeight="1" x14ac:dyDescent="0.3">
      <c r="A35" s="1376"/>
      <c r="B35" s="1376"/>
      <c r="C35" s="1376"/>
      <c r="D35" s="1376"/>
      <c r="E35" s="1376"/>
      <c r="F35" s="1376"/>
      <c r="G35" s="1376"/>
      <c r="H35" s="1376"/>
      <c r="I35" s="1339"/>
      <c r="J35" s="1331"/>
      <c r="K35" s="1328"/>
      <c r="L35" s="1328"/>
      <c r="M35" s="1328"/>
      <c r="N35" s="1328"/>
      <c r="O35" s="1328"/>
      <c r="P35" s="1328"/>
    </row>
    <row r="36" spans="1:16" ht="14.1" customHeight="1" x14ac:dyDescent="0.3">
      <c r="A36" s="1377" t="s">
        <v>244</v>
      </c>
      <c r="B36" s="1377" t="s">
        <v>70</v>
      </c>
      <c r="C36" s="1377" t="s">
        <v>110</v>
      </c>
      <c r="D36" s="1378" t="s">
        <v>72</v>
      </c>
      <c r="E36" s="1608"/>
      <c r="F36" s="1609"/>
      <c r="G36" s="1379"/>
      <c r="H36" s="1610"/>
      <c r="I36" s="1611"/>
      <c r="J36" s="1331"/>
      <c r="K36" s="1328"/>
      <c r="L36" s="1328"/>
      <c r="M36" s="1328"/>
      <c r="N36" s="1328"/>
      <c r="O36" s="1328"/>
      <c r="P36" s="1328"/>
    </row>
    <row r="37" spans="1:16" ht="14.1" customHeight="1" x14ac:dyDescent="0.3">
      <c r="A37" s="1355" t="s">
        <v>66</v>
      </c>
      <c r="B37" s="1065">
        <v>29</v>
      </c>
      <c r="C37" s="1065">
        <v>100</v>
      </c>
      <c r="D37" s="1380">
        <v>45</v>
      </c>
      <c r="E37" s="1604"/>
      <c r="F37" s="1612"/>
      <c r="G37" s="1381"/>
      <c r="H37" s="1613"/>
      <c r="I37" s="1614"/>
      <c r="J37" s="1331"/>
      <c r="K37" s="1328"/>
      <c r="L37" s="1328"/>
      <c r="M37" s="1328"/>
      <c r="N37" s="1328"/>
      <c r="O37" s="1328"/>
      <c r="P37" s="1328"/>
    </row>
    <row r="38" spans="1:16" ht="15" customHeight="1" x14ac:dyDescent="0.3">
      <c r="A38" s="1615" t="s">
        <v>522</v>
      </c>
      <c r="B38" s="1617" t="s">
        <v>134</v>
      </c>
      <c r="C38" s="1618"/>
      <c r="D38" s="1619"/>
      <c r="E38" s="1617" t="s">
        <v>135</v>
      </c>
      <c r="F38" s="1620"/>
      <c r="G38" s="1382"/>
      <c r="H38" s="1623" t="s">
        <v>15</v>
      </c>
      <c r="I38" s="1624"/>
      <c r="J38" s="1331"/>
      <c r="K38" s="1328"/>
      <c r="L38" s="1328"/>
      <c r="M38" s="1328"/>
      <c r="N38" s="1328"/>
      <c r="O38" s="1328"/>
      <c r="P38" s="1328"/>
    </row>
    <row r="39" spans="1:16" ht="14.25" customHeight="1" x14ac:dyDescent="0.3">
      <c r="A39" s="1616"/>
      <c r="B39" s="1621" t="s">
        <v>469</v>
      </c>
      <c r="C39" s="1625"/>
      <c r="D39" s="1626"/>
      <c r="E39" s="1621"/>
      <c r="F39" s="1622"/>
      <c r="G39" s="1382"/>
      <c r="H39" s="1383" t="s">
        <v>16</v>
      </c>
      <c r="I39" s="1353" t="s">
        <v>17</v>
      </c>
      <c r="J39" s="1331"/>
      <c r="K39" s="1328"/>
      <c r="L39" s="1328"/>
      <c r="M39" s="1328"/>
      <c r="N39" s="1328"/>
      <c r="O39" s="1328"/>
      <c r="P39" s="1328"/>
    </row>
    <row r="40" spans="1:16" ht="14.1" customHeight="1" x14ac:dyDescent="0.3">
      <c r="A40" s="1384"/>
      <c r="B40" s="1385" t="s">
        <v>136</v>
      </c>
      <c r="C40" s="1385" t="s">
        <v>137</v>
      </c>
      <c r="D40" s="1385" t="s">
        <v>113</v>
      </c>
      <c r="E40" s="1627" t="s">
        <v>401</v>
      </c>
      <c r="F40" s="1628"/>
      <c r="G40" s="1382"/>
      <c r="H40" s="1631"/>
      <c r="I40" s="1632"/>
      <c r="J40" s="1331"/>
      <c r="K40" s="1328"/>
      <c r="L40" s="1328"/>
      <c r="M40" s="1328"/>
      <c r="N40" s="1328"/>
      <c r="O40" s="1328"/>
      <c r="P40" s="1328"/>
    </row>
    <row r="41" spans="1:16" ht="14.1" customHeight="1" x14ac:dyDescent="0.3">
      <c r="A41" s="1384" t="s">
        <v>651</v>
      </c>
      <c r="B41" s="1385"/>
      <c r="C41" s="1385"/>
      <c r="D41" s="1385"/>
      <c r="E41" s="1629"/>
      <c r="F41" s="1630"/>
      <c r="G41" s="1382"/>
      <c r="H41" s="1633"/>
      <c r="I41" s="1634"/>
      <c r="J41" s="1331"/>
      <c r="K41" s="1333" t="s">
        <v>899</v>
      </c>
      <c r="L41" s="1333"/>
      <c r="M41" s="1333"/>
      <c r="N41" s="1333"/>
      <c r="O41" s="1333"/>
      <c r="P41" s="1328"/>
    </row>
    <row r="42" spans="1:16" ht="14.1" customHeight="1" x14ac:dyDescent="0.3">
      <c r="A42" s="1349" t="s">
        <v>142</v>
      </c>
      <c r="B42" s="1362">
        <v>100</v>
      </c>
      <c r="C42" s="1362">
        <v>110</v>
      </c>
      <c r="D42" s="1362">
        <v>8</v>
      </c>
      <c r="E42" s="1635">
        <f>IF(COUNTIF(A42:D42,""),"",ABS(B42-C42)/(D42))</f>
        <v>1.25</v>
      </c>
      <c r="F42" s="1636"/>
      <c r="G42" s="1382"/>
      <c r="H42" s="1386" t="str">
        <f>IF(COUNTIF(A42:D42,""),"",IF(E42&lt;=2,"X",""))</f>
        <v>X</v>
      </c>
      <c r="I42" s="1386" t="str">
        <f>IF(COUNTIF(A42:D42,""),"",IF(E42&gt;2,"X",""))</f>
        <v/>
      </c>
      <c r="J42" s="1359"/>
      <c r="K42" s="1333" t="s">
        <v>570</v>
      </c>
      <c r="L42" s="1333"/>
      <c r="M42" s="1333"/>
      <c r="N42" s="1333"/>
      <c r="O42" s="1333"/>
      <c r="P42" s="1328"/>
    </row>
    <row r="43" spans="1:16" ht="14.1" customHeight="1" x14ac:dyDescent="0.3">
      <c r="A43" s="1349" t="s">
        <v>143</v>
      </c>
      <c r="B43" s="1365">
        <v>150</v>
      </c>
      <c r="C43" s="1365">
        <v>158</v>
      </c>
      <c r="D43" s="1365">
        <v>3</v>
      </c>
      <c r="E43" s="1635">
        <f>IF(COUNTIF(A43:D43,""),"",ABS(B43-C43)/(D43))</f>
        <v>2.6666666666666665</v>
      </c>
      <c r="F43" s="1636"/>
      <c r="G43" s="1387"/>
      <c r="H43" s="1386" t="str">
        <f>IF(COUNTIF(A43:D43,""),"",IF(E43&lt;=2,"X",""))</f>
        <v/>
      </c>
      <c r="I43" s="1386" t="str">
        <f>IF(COUNTIF(A43:D43,""),"",IF(E43&gt;2,"X",""))</f>
        <v>X</v>
      </c>
      <c r="J43" s="1359"/>
      <c r="K43" s="1333" t="s">
        <v>571</v>
      </c>
      <c r="L43" s="1333"/>
      <c r="M43" s="1333"/>
      <c r="N43" s="1333"/>
      <c r="O43" s="1333"/>
      <c r="P43" s="1328"/>
    </row>
    <row r="44" spans="1:16" ht="12" customHeight="1" x14ac:dyDescent="0.3">
      <c r="A44" s="1388" t="s">
        <v>800</v>
      </c>
      <c r="B44" s="1339"/>
      <c r="C44" s="1339"/>
      <c r="D44" s="1339"/>
      <c r="E44" s="1339"/>
      <c r="F44" s="1339"/>
      <c r="G44" s="1339"/>
      <c r="H44" s="1339"/>
      <c r="I44" s="1339"/>
      <c r="J44" s="1331"/>
      <c r="K44" s="1333" t="s">
        <v>900</v>
      </c>
      <c r="L44" s="1333"/>
      <c r="M44" s="1333"/>
      <c r="N44" s="1333"/>
      <c r="O44" s="1333"/>
      <c r="P44" s="1328"/>
    </row>
    <row r="45" spans="1:16" ht="12" customHeight="1" x14ac:dyDescent="0.3">
      <c r="A45" s="1388" t="s">
        <v>801</v>
      </c>
      <c r="B45" s="1339"/>
      <c r="C45" s="1339"/>
      <c r="D45" s="1339"/>
      <c r="E45" s="1339"/>
      <c r="F45" s="1339"/>
      <c r="G45" s="1339"/>
      <c r="H45" s="1339"/>
      <c r="I45" s="1339"/>
      <c r="J45" s="1331"/>
      <c r="K45" s="1328"/>
      <c r="L45" s="1328"/>
      <c r="M45" s="1328"/>
      <c r="N45" s="1328"/>
      <c r="O45" s="1328"/>
      <c r="P45" s="1328"/>
    </row>
    <row r="46" spans="1:16" ht="12" customHeight="1" x14ac:dyDescent="0.3">
      <c r="A46" s="1389"/>
      <c r="B46" s="1339"/>
      <c r="C46" s="1339"/>
      <c r="D46" s="1339"/>
      <c r="E46" s="1339"/>
      <c r="F46" s="1339"/>
      <c r="G46" s="1339"/>
      <c r="H46" s="1339"/>
      <c r="I46" s="1339"/>
      <c r="J46" s="1331"/>
      <c r="K46" s="1328"/>
      <c r="L46" s="1328"/>
      <c r="M46" s="1328"/>
      <c r="N46" s="1328"/>
      <c r="O46" s="1328"/>
      <c r="P46" s="1328"/>
    </row>
    <row r="47" spans="1:16" ht="14.1" customHeight="1" x14ac:dyDescent="0.3">
      <c r="A47" s="1373" t="s">
        <v>778</v>
      </c>
      <c r="B47" s="1390"/>
      <c r="C47" s="1637" t="s">
        <v>305</v>
      </c>
      <c r="D47" s="1637"/>
      <c r="E47" s="1637"/>
      <c r="F47" s="1637"/>
      <c r="G47" s="1637"/>
      <c r="H47" s="1637"/>
      <c r="I47" s="1637"/>
      <c r="J47" s="1331"/>
      <c r="K47" s="1328"/>
      <c r="L47" s="1328"/>
      <c r="M47" s="1328"/>
      <c r="N47" s="1328"/>
      <c r="O47" s="1328"/>
      <c r="P47" s="1328"/>
    </row>
    <row r="48" spans="1:16" ht="14.1" customHeight="1" x14ac:dyDescent="0.25">
      <c r="A48" s="1637" t="s">
        <v>305</v>
      </c>
      <c r="B48" s="1637"/>
      <c r="C48" s="1637"/>
      <c r="D48" s="1637"/>
      <c r="E48" s="1637"/>
      <c r="F48" s="1637"/>
      <c r="G48" s="1637"/>
      <c r="H48" s="1637"/>
      <c r="I48" s="1637"/>
      <c r="J48" s="1391" t="s">
        <v>490</v>
      </c>
    </row>
    <row r="49" spans="1:10" ht="14.1" customHeight="1" x14ac:dyDescent="0.25">
      <c r="A49" s="1598"/>
      <c r="B49" s="1598"/>
      <c r="C49" s="1598"/>
      <c r="D49" s="1598"/>
      <c r="E49" s="1598"/>
      <c r="F49" s="1598"/>
      <c r="G49" s="1598"/>
      <c r="H49" s="1598"/>
      <c r="I49" s="1598"/>
      <c r="J49" s="1392">
        <f>COUNTIF(I42:I43,"X")+COUNTIF(I18:I28,"X")</f>
        <v>1</v>
      </c>
    </row>
    <row r="50" spans="1:10" x14ac:dyDescent="0.25">
      <c r="A50" s="1393"/>
      <c r="B50" s="1393"/>
      <c r="C50" s="1393"/>
      <c r="D50" s="1393"/>
      <c r="E50" s="1393"/>
      <c r="F50" s="1393"/>
      <c r="G50" s="1393"/>
      <c r="H50" s="1393"/>
    </row>
  </sheetData>
  <sheetProtection algorithmName="SHA-512" hashValue="FinV5KPHokYucTr6XLBqjq5T4yb1SMa+Nkn7UnSxLzpW3CRlirUDziRrxywfeVA8mha7hKDYbbWPuhepmGJsWw==" saltValue="decQMdN7vPIrvaPM0VYPtQ==" spinCount="100000" sheet="1" objects="1" scenarios="1"/>
  <mergeCells count="28">
    <mergeCell ref="A49:I49"/>
    <mergeCell ref="E40:F41"/>
    <mergeCell ref="H40:I41"/>
    <mergeCell ref="E42:F42"/>
    <mergeCell ref="E43:F43"/>
    <mergeCell ref="C47:I47"/>
    <mergeCell ref="A48:I48"/>
    <mergeCell ref="E36:F36"/>
    <mergeCell ref="H36:I36"/>
    <mergeCell ref="E37:F37"/>
    <mergeCell ref="H37:I37"/>
    <mergeCell ref="A38:A39"/>
    <mergeCell ref="B38:D38"/>
    <mergeCell ref="E38:F39"/>
    <mergeCell ref="H38:I38"/>
    <mergeCell ref="B39:D39"/>
    <mergeCell ref="A32:I32"/>
    <mergeCell ref="B7:C7"/>
    <mergeCell ref="B8:C8"/>
    <mergeCell ref="B9:C9"/>
    <mergeCell ref="B10:C10"/>
    <mergeCell ref="B11:C11"/>
    <mergeCell ref="B12:C12"/>
    <mergeCell ref="H14:I14"/>
    <mergeCell ref="H16:I17"/>
    <mergeCell ref="A28:G28"/>
    <mergeCell ref="C30:I30"/>
    <mergeCell ref="A31:I31"/>
  </mergeCells>
  <conditionalFormatting sqref="E42">
    <cfRule type="expression" priority="2" stopIfTrue="1">
      <formula>ISBLANK($A$42:$D$42)</formula>
    </cfRule>
    <cfRule type="cellIs" dxfId="132" priority="3" operator="greaterThan">
      <formula>2</formula>
    </cfRule>
  </conditionalFormatting>
  <conditionalFormatting sqref="E43:F43">
    <cfRule type="cellIs" dxfId="131" priority="1" operator="greaterThan">
      <formula>2</formula>
    </cfRule>
  </conditionalFormatting>
  <dataValidations count="4">
    <dataValidation type="list" allowBlank="1" showInputMessage="1" showErrorMessage="1" sqref="A42:A43" xr:uid="{55001AEA-6F3A-4481-AB9F-6480855E3115}">
      <formula1>$M$4:$M$7</formula1>
    </dataValidation>
    <dataValidation type="list" allowBlank="1" showInputMessage="1" showErrorMessage="1" sqref="B12:C12" xr:uid="{06B70FFB-D69B-4632-8BE6-BF30EA4108BA}">
      <formula1>$N$4:$N$5</formula1>
    </dataValidation>
    <dataValidation type="list" allowBlank="1" showInputMessage="1" showErrorMessage="1" sqref="B14:G14" xr:uid="{CF95A472-48F5-4AA5-B724-09647ECF6F67}">
      <formula1>$M$4:$M$6</formula1>
    </dataValidation>
    <dataValidation type="list" allowBlank="1" showInputMessage="1" showErrorMessage="1" sqref="B16:G16 A37" xr:uid="{9D8AC6A6-C848-45D3-AE57-F2CEDDDEBC7D}">
      <formula1>$K$4:$K$10</formula1>
    </dataValidation>
  </dataValidations>
  <printOptions horizontalCentered="1"/>
  <pageMargins left="0.70866141732283472" right="0.70866141732283472" top="0.74803149606299213" bottom="0.74803149606299213" header="0.31496062992125984" footer="0.31496062992125984"/>
  <pageSetup paperSize="120" scale="83" firstPageNumber="0" orientation="portrait" r:id="rId1"/>
  <headerFooter>
    <oddFooter>&amp;CPage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B593-5F78-44B3-8B9B-4419B973B614}">
  <sheetPr>
    <tabColor theme="5" tint="-0.249977111117893"/>
    <pageSetUpPr fitToPage="1"/>
  </sheetPr>
  <dimension ref="A1:Z836"/>
  <sheetViews>
    <sheetView topLeftCell="A26" zoomScaleNormal="100" workbookViewId="0">
      <selection activeCell="L5" sqref="L5"/>
    </sheetView>
  </sheetViews>
  <sheetFormatPr baseColWidth="10" defaultRowHeight="13.2" x14ac:dyDescent="0.25"/>
  <cols>
    <col min="1" max="1" width="28.6640625" style="172" customWidth="1"/>
    <col min="2" max="8" width="12.6640625" style="172" customWidth="1"/>
    <col min="9" max="9" width="6.6640625" style="182" customWidth="1"/>
    <col min="10" max="11" width="6.6640625" style="172" customWidth="1"/>
    <col min="12" max="12" width="7.5546875" style="172" customWidth="1"/>
    <col min="13" max="14" width="6.6640625" style="172" customWidth="1"/>
    <col min="15" max="15" width="8.5546875" style="172" customWidth="1"/>
    <col min="16" max="16" width="12.44140625" style="172" customWidth="1"/>
    <col min="17" max="17" width="10.88671875" style="172" customWidth="1"/>
    <col min="18" max="18" width="6.6640625" style="172" customWidth="1"/>
    <col min="19" max="19" width="8.6640625" style="172" customWidth="1"/>
    <col min="20" max="20" width="9.109375" style="172" customWidth="1"/>
    <col min="21" max="256" width="11.5546875" style="172"/>
    <col min="257" max="257" width="6.6640625" style="172" customWidth="1"/>
    <col min="258" max="258" width="1.5546875" style="172" customWidth="1"/>
    <col min="259" max="259" width="9.33203125" style="172" customWidth="1"/>
    <col min="260" max="260" width="1.5546875" style="172" customWidth="1"/>
    <col min="261" max="261" width="6.6640625" style="172" customWidth="1"/>
    <col min="262" max="264" width="9.33203125" style="172" customWidth="1"/>
    <col min="265" max="265" width="11" style="172" customWidth="1"/>
    <col min="266" max="267" width="6.6640625" style="172" customWidth="1"/>
    <col min="268" max="268" width="5.6640625" style="172" customWidth="1"/>
    <col min="269" max="269" width="6.6640625" style="172" customWidth="1"/>
    <col min="270" max="270" width="1.5546875" style="172" customWidth="1"/>
    <col min="271" max="271" width="6.33203125" style="172" customWidth="1"/>
    <col min="272" max="276" width="6.6640625" style="172" customWidth="1"/>
    <col min="277" max="512" width="11.5546875" style="172"/>
    <col min="513" max="513" width="6.6640625" style="172" customWidth="1"/>
    <col min="514" max="514" width="1.5546875" style="172" customWidth="1"/>
    <col min="515" max="515" width="9.33203125" style="172" customWidth="1"/>
    <col min="516" max="516" width="1.5546875" style="172" customWidth="1"/>
    <col min="517" max="517" width="6.6640625" style="172" customWidth="1"/>
    <col min="518" max="520" width="9.33203125" style="172" customWidth="1"/>
    <col min="521" max="521" width="11" style="172" customWidth="1"/>
    <col min="522" max="523" width="6.6640625" style="172" customWidth="1"/>
    <col min="524" max="524" width="5.6640625" style="172" customWidth="1"/>
    <col min="525" max="525" width="6.6640625" style="172" customWidth="1"/>
    <col min="526" max="526" width="1.5546875" style="172" customWidth="1"/>
    <col min="527" max="527" width="6.33203125" style="172" customWidth="1"/>
    <col min="528" max="532" width="6.6640625" style="172" customWidth="1"/>
    <col min="533" max="768" width="11.5546875" style="172"/>
    <col min="769" max="769" width="6.6640625" style="172" customWidth="1"/>
    <col min="770" max="770" width="1.5546875" style="172" customWidth="1"/>
    <col min="771" max="771" width="9.33203125" style="172" customWidth="1"/>
    <col min="772" max="772" width="1.5546875" style="172" customWidth="1"/>
    <col min="773" max="773" width="6.6640625" style="172" customWidth="1"/>
    <col min="774" max="776" width="9.33203125" style="172" customWidth="1"/>
    <col min="777" max="777" width="11" style="172" customWidth="1"/>
    <col min="778" max="779" width="6.6640625" style="172" customWidth="1"/>
    <col min="780" max="780" width="5.6640625" style="172" customWidth="1"/>
    <col min="781" max="781" width="6.6640625" style="172" customWidth="1"/>
    <col min="782" max="782" width="1.5546875" style="172" customWidth="1"/>
    <col min="783" max="783" width="6.33203125" style="172" customWidth="1"/>
    <col min="784" max="788" width="6.6640625" style="172" customWidth="1"/>
    <col min="789" max="1024" width="11.5546875" style="172"/>
    <col min="1025" max="1025" width="6.6640625" style="172" customWidth="1"/>
    <col min="1026" max="1026" width="1.5546875" style="172" customWidth="1"/>
    <col min="1027" max="1027" width="9.33203125" style="172" customWidth="1"/>
    <col min="1028" max="1028" width="1.5546875" style="172" customWidth="1"/>
    <col min="1029" max="1029" width="6.6640625" style="172" customWidth="1"/>
    <col min="1030" max="1032" width="9.33203125" style="172" customWidth="1"/>
    <col min="1033" max="1033" width="11" style="172" customWidth="1"/>
    <col min="1034" max="1035" width="6.6640625" style="172" customWidth="1"/>
    <col min="1036" max="1036" width="5.6640625" style="172" customWidth="1"/>
    <col min="1037" max="1037" width="6.6640625" style="172" customWidth="1"/>
    <col min="1038" max="1038" width="1.5546875" style="172" customWidth="1"/>
    <col min="1039" max="1039" width="6.33203125" style="172" customWidth="1"/>
    <col min="1040" max="1044" width="6.6640625" style="172" customWidth="1"/>
    <col min="1045" max="1280" width="11.5546875" style="172"/>
    <col min="1281" max="1281" width="6.6640625" style="172" customWidth="1"/>
    <col min="1282" max="1282" width="1.5546875" style="172" customWidth="1"/>
    <col min="1283" max="1283" width="9.33203125" style="172" customWidth="1"/>
    <col min="1284" max="1284" width="1.5546875" style="172" customWidth="1"/>
    <col min="1285" max="1285" width="6.6640625" style="172" customWidth="1"/>
    <col min="1286" max="1288" width="9.33203125" style="172" customWidth="1"/>
    <col min="1289" max="1289" width="11" style="172" customWidth="1"/>
    <col min="1290" max="1291" width="6.6640625" style="172" customWidth="1"/>
    <col min="1292" max="1292" width="5.6640625" style="172" customWidth="1"/>
    <col min="1293" max="1293" width="6.6640625" style="172" customWidth="1"/>
    <col min="1294" max="1294" width="1.5546875" style="172" customWidth="1"/>
    <col min="1295" max="1295" width="6.33203125" style="172" customWidth="1"/>
    <col min="1296" max="1300" width="6.6640625" style="172" customWidth="1"/>
    <col min="1301" max="1536" width="11.5546875" style="172"/>
    <col min="1537" max="1537" width="6.6640625" style="172" customWidth="1"/>
    <col min="1538" max="1538" width="1.5546875" style="172" customWidth="1"/>
    <col min="1539" max="1539" width="9.33203125" style="172" customWidth="1"/>
    <col min="1540" max="1540" width="1.5546875" style="172" customWidth="1"/>
    <col min="1541" max="1541" width="6.6640625" style="172" customWidth="1"/>
    <col min="1542" max="1544" width="9.33203125" style="172" customWidth="1"/>
    <col min="1545" max="1545" width="11" style="172" customWidth="1"/>
    <col min="1546" max="1547" width="6.6640625" style="172" customWidth="1"/>
    <col min="1548" max="1548" width="5.6640625" style="172" customWidth="1"/>
    <col min="1549" max="1549" width="6.6640625" style="172" customWidth="1"/>
    <col min="1550" max="1550" width="1.5546875" style="172" customWidth="1"/>
    <col min="1551" max="1551" width="6.33203125" style="172" customWidth="1"/>
    <col min="1552" max="1556" width="6.6640625" style="172" customWidth="1"/>
    <col min="1557" max="1792" width="11.5546875" style="172"/>
    <col min="1793" max="1793" width="6.6640625" style="172" customWidth="1"/>
    <col min="1794" max="1794" width="1.5546875" style="172" customWidth="1"/>
    <col min="1795" max="1795" width="9.33203125" style="172" customWidth="1"/>
    <col min="1796" max="1796" width="1.5546875" style="172" customWidth="1"/>
    <col min="1797" max="1797" width="6.6640625" style="172" customWidth="1"/>
    <col min="1798" max="1800" width="9.33203125" style="172" customWidth="1"/>
    <col min="1801" max="1801" width="11" style="172" customWidth="1"/>
    <col min="1802" max="1803" width="6.6640625" style="172" customWidth="1"/>
    <col min="1804" max="1804" width="5.6640625" style="172" customWidth="1"/>
    <col min="1805" max="1805" width="6.6640625" style="172" customWidth="1"/>
    <col min="1806" max="1806" width="1.5546875" style="172" customWidth="1"/>
    <col min="1807" max="1807" width="6.33203125" style="172" customWidth="1"/>
    <col min="1808" max="1812" width="6.6640625" style="172" customWidth="1"/>
    <col min="1813" max="2048" width="11.5546875" style="172"/>
    <col min="2049" max="2049" width="6.6640625" style="172" customWidth="1"/>
    <col min="2050" max="2050" width="1.5546875" style="172" customWidth="1"/>
    <col min="2051" max="2051" width="9.33203125" style="172" customWidth="1"/>
    <col min="2052" max="2052" width="1.5546875" style="172" customWidth="1"/>
    <col min="2053" max="2053" width="6.6640625" style="172" customWidth="1"/>
    <col min="2054" max="2056" width="9.33203125" style="172" customWidth="1"/>
    <col min="2057" max="2057" width="11" style="172" customWidth="1"/>
    <col min="2058" max="2059" width="6.6640625" style="172" customWidth="1"/>
    <col min="2060" max="2060" width="5.6640625" style="172" customWidth="1"/>
    <col min="2061" max="2061" width="6.6640625" style="172" customWidth="1"/>
    <col min="2062" max="2062" width="1.5546875" style="172" customWidth="1"/>
    <col min="2063" max="2063" width="6.33203125" style="172" customWidth="1"/>
    <col min="2064" max="2068" width="6.6640625" style="172" customWidth="1"/>
    <col min="2069" max="2304" width="11.5546875" style="172"/>
    <col min="2305" max="2305" width="6.6640625" style="172" customWidth="1"/>
    <col min="2306" max="2306" width="1.5546875" style="172" customWidth="1"/>
    <col min="2307" max="2307" width="9.33203125" style="172" customWidth="1"/>
    <col min="2308" max="2308" width="1.5546875" style="172" customWidth="1"/>
    <col min="2309" max="2309" width="6.6640625" style="172" customWidth="1"/>
    <col min="2310" max="2312" width="9.33203125" style="172" customWidth="1"/>
    <col min="2313" max="2313" width="11" style="172" customWidth="1"/>
    <col min="2314" max="2315" width="6.6640625" style="172" customWidth="1"/>
    <col min="2316" max="2316" width="5.6640625" style="172" customWidth="1"/>
    <col min="2317" max="2317" width="6.6640625" style="172" customWidth="1"/>
    <col min="2318" max="2318" width="1.5546875" style="172" customWidth="1"/>
    <col min="2319" max="2319" width="6.33203125" style="172" customWidth="1"/>
    <col min="2320" max="2324" width="6.6640625" style="172" customWidth="1"/>
    <col min="2325" max="2560" width="11.5546875" style="172"/>
    <col min="2561" max="2561" width="6.6640625" style="172" customWidth="1"/>
    <col min="2562" max="2562" width="1.5546875" style="172" customWidth="1"/>
    <col min="2563" max="2563" width="9.33203125" style="172" customWidth="1"/>
    <col min="2564" max="2564" width="1.5546875" style="172" customWidth="1"/>
    <col min="2565" max="2565" width="6.6640625" style="172" customWidth="1"/>
    <col min="2566" max="2568" width="9.33203125" style="172" customWidth="1"/>
    <col min="2569" max="2569" width="11" style="172" customWidth="1"/>
    <col min="2570" max="2571" width="6.6640625" style="172" customWidth="1"/>
    <col min="2572" max="2572" width="5.6640625" style="172" customWidth="1"/>
    <col min="2573" max="2573" width="6.6640625" style="172" customWidth="1"/>
    <col min="2574" max="2574" width="1.5546875" style="172" customWidth="1"/>
    <col min="2575" max="2575" width="6.33203125" style="172" customWidth="1"/>
    <col min="2576" max="2580" width="6.6640625" style="172" customWidth="1"/>
    <col min="2581" max="2816" width="11.5546875" style="172"/>
    <col min="2817" max="2817" width="6.6640625" style="172" customWidth="1"/>
    <col min="2818" max="2818" width="1.5546875" style="172" customWidth="1"/>
    <col min="2819" max="2819" width="9.33203125" style="172" customWidth="1"/>
    <col min="2820" max="2820" width="1.5546875" style="172" customWidth="1"/>
    <col min="2821" max="2821" width="6.6640625" style="172" customWidth="1"/>
    <col min="2822" max="2824" width="9.33203125" style="172" customWidth="1"/>
    <col min="2825" max="2825" width="11" style="172" customWidth="1"/>
    <col min="2826" max="2827" width="6.6640625" style="172" customWidth="1"/>
    <col min="2828" max="2828" width="5.6640625" style="172" customWidth="1"/>
    <col min="2829" max="2829" width="6.6640625" style="172" customWidth="1"/>
    <col min="2830" max="2830" width="1.5546875" style="172" customWidth="1"/>
    <col min="2831" max="2831" width="6.33203125" style="172" customWidth="1"/>
    <col min="2832" max="2836" width="6.6640625" style="172" customWidth="1"/>
    <col min="2837" max="3072" width="11.5546875" style="172"/>
    <col min="3073" max="3073" width="6.6640625" style="172" customWidth="1"/>
    <col min="3074" max="3074" width="1.5546875" style="172" customWidth="1"/>
    <col min="3075" max="3075" width="9.33203125" style="172" customWidth="1"/>
    <col min="3076" max="3076" width="1.5546875" style="172" customWidth="1"/>
    <col min="3077" max="3077" width="6.6640625" style="172" customWidth="1"/>
    <col min="3078" max="3080" width="9.33203125" style="172" customWidth="1"/>
    <col min="3081" max="3081" width="11" style="172" customWidth="1"/>
    <col min="3082" max="3083" width="6.6640625" style="172" customWidth="1"/>
    <col min="3084" max="3084" width="5.6640625" style="172" customWidth="1"/>
    <col min="3085" max="3085" width="6.6640625" style="172" customWidth="1"/>
    <col min="3086" max="3086" width="1.5546875" style="172" customWidth="1"/>
    <col min="3087" max="3087" width="6.33203125" style="172" customWidth="1"/>
    <col min="3088" max="3092" width="6.6640625" style="172" customWidth="1"/>
    <col min="3093" max="3328" width="11.5546875" style="172"/>
    <col min="3329" max="3329" width="6.6640625" style="172" customWidth="1"/>
    <col min="3330" max="3330" width="1.5546875" style="172" customWidth="1"/>
    <col min="3331" max="3331" width="9.33203125" style="172" customWidth="1"/>
    <col min="3332" max="3332" width="1.5546875" style="172" customWidth="1"/>
    <col min="3333" max="3333" width="6.6640625" style="172" customWidth="1"/>
    <col min="3334" max="3336" width="9.33203125" style="172" customWidth="1"/>
    <col min="3337" max="3337" width="11" style="172" customWidth="1"/>
    <col min="3338" max="3339" width="6.6640625" style="172" customWidth="1"/>
    <col min="3340" max="3340" width="5.6640625" style="172" customWidth="1"/>
    <col min="3341" max="3341" width="6.6640625" style="172" customWidth="1"/>
    <col min="3342" max="3342" width="1.5546875" style="172" customWidth="1"/>
    <col min="3343" max="3343" width="6.33203125" style="172" customWidth="1"/>
    <col min="3344" max="3348" width="6.6640625" style="172" customWidth="1"/>
    <col min="3349" max="3584" width="11.5546875" style="172"/>
    <col min="3585" max="3585" width="6.6640625" style="172" customWidth="1"/>
    <col min="3586" max="3586" width="1.5546875" style="172" customWidth="1"/>
    <col min="3587" max="3587" width="9.33203125" style="172" customWidth="1"/>
    <col min="3588" max="3588" width="1.5546875" style="172" customWidth="1"/>
    <col min="3589" max="3589" width="6.6640625" style="172" customWidth="1"/>
    <col min="3590" max="3592" width="9.33203125" style="172" customWidth="1"/>
    <col min="3593" max="3593" width="11" style="172" customWidth="1"/>
    <col min="3594" max="3595" width="6.6640625" style="172" customWidth="1"/>
    <col min="3596" max="3596" width="5.6640625" style="172" customWidth="1"/>
    <col min="3597" max="3597" width="6.6640625" style="172" customWidth="1"/>
    <col min="3598" max="3598" width="1.5546875" style="172" customWidth="1"/>
    <col min="3599" max="3599" width="6.33203125" style="172" customWidth="1"/>
    <col min="3600" max="3604" width="6.6640625" style="172" customWidth="1"/>
    <col min="3605" max="3840" width="11.5546875" style="172"/>
    <col min="3841" max="3841" width="6.6640625" style="172" customWidth="1"/>
    <col min="3842" max="3842" width="1.5546875" style="172" customWidth="1"/>
    <col min="3843" max="3843" width="9.33203125" style="172" customWidth="1"/>
    <col min="3844" max="3844" width="1.5546875" style="172" customWidth="1"/>
    <col min="3845" max="3845" width="6.6640625" style="172" customWidth="1"/>
    <col min="3846" max="3848" width="9.33203125" style="172" customWidth="1"/>
    <col min="3849" max="3849" width="11" style="172" customWidth="1"/>
    <col min="3850" max="3851" width="6.6640625" style="172" customWidth="1"/>
    <col min="3852" max="3852" width="5.6640625" style="172" customWidth="1"/>
    <col min="3853" max="3853" width="6.6640625" style="172" customWidth="1"/>
    <col min="3854" max="3854" width="1.5546875" style="172" customWidth="1"/>
    <col min="3855" max="3855" width="6.33203125" style="172" customWidth="1"/>
    <col min="3856" max="3860" width="6.6640625" style="172" customWidth="1"/>
    <col min="3861" max="4096" width="11.5546875" style="172"/>
    <col min="4097" max="4097" width="6.6640625" style="172" customWidth="1"/>
    <col min="4098" max="4098" width="1.5546875" style="172" customWidth="1"/>
    <col min="4099" max="4099" width="9.33203125" style="172" customWidth="1"/>
    <col min="4100" max="4100" width="1.5546875" style="172" customWidth="1"/>
    <col min="4101" max="4101" width="6.6640625" style="172" customWidth="1"/>
    <col min="4102" max="4104" width="9.33203125" style="172" customWidth="1"/>
    <col min="4105" max="4105" width="11" style="172" customWidth="1"/>
    <col min="4106" max="4107" width="6.6640625" style="172" customWidth="1"/>
    <col min="4108" max="4108" width="5.6640625" style="172" customWidth="1"/>
    <col min="4109" max="4109" width="6.6640625" style="172" customWidth="1"/>
    <col min="4110" max="4110" width="1.5546875" style="172" customWidth="1"/>
    <col min="4111" max="4111" width="6.33203125" style="172" customWidth="1"/>
    <col min="4112" max="4116" width="6.6640625" style="172" customWidth="1"/>
    <col min="4117" max="4352" width="11.5546875" style="172"/>
    <col min="4353" max="4353" width="6.6640625" style="172" customWidth="1"/>
    <col min="4354" max="4354" width="1.5546875" style="172" customWidth="1"/>
    <col min="4355" max="4355" width="9.33203125" style="172" customWidth="1"/>
    <col min="4356" max="4356" width="1.5546875" style="172" customWidth="1"/>
    <col min="4357" max="4357" width="6.6640625" style="172" customWidth="1"/>
    <col min="4358" max="4360" width="9.33203125" style="172" customWidth="1"/>
    <col min="4361" max="4361" width="11" style="172" customWidth="1"/>
    <col min="4362" max="4363" width="6.6640625" style="172" customWidth="1"/>
    <col min="4364" max="4364" width="5.6640625" style="172" customWidth="1"/>
    <col min="4365" max="4365" width="6.6640625" style="172" customWidth="1"/>
    <col min="4366" max="4366" width="1.5546875" style="172" customWidth="1"/>
    <col min="4367" max="4367" width="6.33203125" style="172" customWidth="1"/>
    <col min="4368" max="4372" width="6.6640625" style="172" customWidth="1"/>
    <col min="4373" max="4608" width="11.5546875" style="172"/>
    <col min="4609" max="4609" width="6.6640625" style="172" customWidth="1"/>
    <col min="4610" max="4610" width="1.5546875" style="172" customWidth="1"/>
    <col min="4611" max="4611" width="9.33203125" style="172" customWidth="1"/>
    <col min="4612" max="4612" width="1.5546875" style="172" customWidth="1"/>
    <col min="4613" max="4613" width="6.6640625" style="172" customWidth="1"/>
    <col min="4614" max="4616" width="9.33203125" style="172" customWidth="1"/>
    <col min="4617" max="4617" width="11" style="172" customWidth="1"/>
    <col min="4618" max="4619" width="6.6640625" style="172" customWidth="1"/>
    <col min="4620" max="4620" width="5.6640625" style="172" customWidth="1"/>
    <col min="4621" max="4621" width="6.6640625" style="172" customWidth="1"/>
    <col min="4622" max="4622" width="1.5546875" style="172" customWidth="1"/>
    <col min="4623" max="4623" width="6.33203125" style="172" customWidth="1"/>
    <col min="4624" max="4628" width="6.6640625" style="172" customWidth="1"/>
    <col min="4629" max="4864" width="11.5546875" style="172"/>
    <col min="4865" max="4865" width="6.6640625" style="172" customWidth="1"/>
    <col min="4866" max="4866" width="1.5546875" style="172" customWidth="1"/>
    <col min="4867" max="4867" width="9.33203125" style="172" customWidth="1"/>
    <col min="4868" max="4868" width="1.5546875" style="172" customWidth="1"/>
    <col min="4869" max="4869" width="6.6640625" style="172" customWidth="1"/>
    <col min="4870" max="4872" width="9.33203125" style="172" customWidth="1"/>
    <col min="4873" max="4873" width="11" style="172" customWidth="1"/>
    <col min="4874" max="4875" width="6.6640625" style="172" customWidth="1"/>
    <col min="4876" max="4876" width="5.6640625" style="172" customWidth="1"/>
    <col min="4877" max="4877" width="6.6640625" style="172" customWidth="1"/>
    <col min="4878" max="4878" width="1.5546875" style="172" customWidth="1"/>
    <col min="4879" max="4879" width="6.33203125" style="172" customWidth="1"/>
    <col min="4880" max="4884" width="6.6640625" style="172" customWidth="1"/>
    <col min="4885" max="5120" width="11.5546875" style="172"/>
    <col min="5121" max="5121" width="6.6640625" style="172" customWidth="1"/>
    <col min="5122" max="5122" width="1.5546875" style="172" customWidth="1"/>
    <col min="5123" max="5123" width="9.33203125" style="172" customWidth="1"/>
    <col min="5124" max="5124" width="1.5546875" style="172" customWidth="1"/>
    <col min="5125" max="5125" width="6.6640625" style="172" customWidth="1"/>
    <col min="5126" max="5128" width="9.33203125" style="172" customWidth="1"/>
    <col min="5129" max="5129" width="11" style="172" customWidth="1"/>
    <col min="5130" max="5131" width="6.6640625" style="172" customWidth="1"/>
    <col min="5132" max="5132" width="5.6640625" style="172" customWidth="1"/>
    <col min="5133" max="5133" width="6.6640625" style="172" customWidth="1"/>
    <col min="5134" max="5134" width="1.5546875" style="172" customWidth="1"/>
    <col min="5135" max="5135" width="6.33203125" style="172" customWidth="1"/>
    <col min="5136" max="5140" width="6.6640625" style="172" customWidth="1"/>
    <col min="5141" max="5376" width="11.5546875" style="172"/>
    <col min="5377" max="5377" width="6.6640625" style="172" customWidth="1"/>
    <col min="5378" max="5378" width="1.5546875" style="172" customWidth="1"/>
    <col min="5379" max="5379" width="9.33203125" style="172" customWidth="1"/>
    <col min="5380" max="5380" width="1.5546875" style="172" customWidth="1"/>
    <col min="5381" max="5381" width="6.6640625" style="172" customWidth="1"/>
    <col min="5382" max="5384" width="9.33203125" style="172" customWidth="1"/>
    <col min="5385" max="5385" width="11" style="172" customWidth="1"/>
    <col min="5386" max="5387" width="6.6640625" style="172" customWidth="1"/>
    <col min="5388" max="5388" width="5.6640625" style="172" customWidth="1"/>
    <col min="5389" max="5389" width="6.6640625" style="172" customWidth="1"/>
    <col min="5390" max="5390" width="1.5546875" style="172" customWidth="1"/>
    <col min="5391" max="5391" width="6.33203125" style="172" customWidth="1"/>
    <col min="5392" max="5396" width="6.6640625" style="172" customWidth="1"/>
    <col min="5397" max="5632" width="11.5546875" style="172"/>
    <col min="5633" max="5633" width="6.6640625" style="172" customWidth="1"/>
    <col min="5634" max="5634" width="1.5546875" style="172" customWidth="1"/>
    <col min="5635" max="5635" width="9.33203125" style="172" customWidth="1"/>
    <col min="5636" max="5636" width="1.5546875" style="172" customWidth="1"/>
    <col min="5637" max="5637" width="6.6640625" style="172" customWidth="1"/>
    <col min="5638" max="5640" width="9.33203125" style="172" customWidth="1"/>
    <col min="5641" max="5641" width="11" style="172" customWidth="1"/>
    <col min="5642" max="5643" width="6.6640625" style="172" customWidth="1"/>
    <col min="5644" max="5644" width="5.6640625" style="172" customWidth="1"/>
    <col min="5645" max="5645" width="6.6640625" style="172" customWidth="1"/>
    <col min="5646" max="5646" width="1.5546875" style="172" customWidth="1"/>
    <col min="5647" max="5647" width="6.33203125" style="172" customWidth="1"/>
    <col min="5648" max="5652" width="6.6640625" style="172" customWidth="1"/>
    <col min="5653" max="5888" width="11.5546875" style="172"/>
    <col min="5889" max="5889" width="6.6640625" style="172" customWidth="1"/>
    <col min="5890" max="5890" width="1.5546875" style="172" customWidth="1"/>
    <col min="5891" max="5891" width="9.33203125" style="172" customWidth="1"/>
    <col min="5892" max="5892" width="1.5546875" style="172" customWidth="1"/>
    <col min="5893" max="5893" width="6.6640625" style="172" customWidth="1"/>
    <col min="5894" max="5896" width="9.33203125" style="172" customWidth="1"/>
    <col min="5897" max="5897" width="11" style="172" customWidth="1"/>
    <col min="5898" max="5899" width="6.6640625" style="172" customWidth="1"/>
    <col min="5900" max="5900" width="5.6640625" style="172" customWidth="1"/>
    <col min="5901" max="5901" width="6.6640625" style="172" customWidth="1"/>
    <col min="5902" max="5902" width="1.5546875" style="172" customWidth="1"/>
    <col min="5903" max="5903" width="6.33203125" style="172" customWidth="1"/>
    <col min="5904" max="5908" width="6.6640625" style="172" customWidth="1"/>
    <col min="5909" max="6144" width="11.5546875" style="172"/>
    <col min="6145" max="6145" width="6.6640625" style="172" customWidth="1"/>
    <col min="6146" max="6146" width="1.5546875" style="172" customWidth="1"/>
    <col min="6147" max="6147" width="9.33203125" style="172" customWidth="1"/>
    <col min="6148" max="6148" width="1.5546875" style="172" customWidth="1"/>
    <col min="6149" max="6149" width="6.6640625" style="172" customWidth="1"/>
    <col min="6150" max="6152" width="9.33203125" style="172" customWidth="1"/>
    <col min="6153" max="6153" width="11" style="172" customWidth="1"/>
    <col min="6154" max="6155" width="6.6640625" style="172" customWidth="1"/>
    <col min="6156" max="6156" width="5.6640625" style="172" customWidth="1"/>
    <col min="6157" max="6157" width="6.6640625" style="172" customWidth="1"/>
    <col min="6158" max="6158" width="1.5546875" style="172" customWidth="1"/>
    <col min="6159" max="6159" width="6.33203125" style="172" customWidth="1"/>
    <col min="6160" max="6164" width="6.6640625" style="172" customWidth="1"/>
    <col min="6165" max="6400" width="11.5546875" style="172"/>
    <col min="6401" max="6401" width="6.6640625" style="172" customWidth="1"/>
    <col min="6402" max="6402" width="1.5546875" style="172" customWidth="1"/>
    <col min="6403" max="6403" width="9.33203125" style="172" customWidth="1"/>
    <col min="6404" max="6404" width="1.5546875" style="172" customWidth="1"/>
    <col min="6405" max="6405" width="6.6640625" style="172" customWidth="1"/>
    <col min="6406" max="6408" width="9.33203125" style="172" customWidth="1"/>
    <col min="6409" max="6409" width="11" style="172" customWidth="1"/>
    <col min="6410" max="6411" width="6.6640625" style="172" customWidth="1"/>
    <col min="6412" max="6412" width="5.6640625" style="172" customWidth="1"/>
    <col min="6413" max="6413" width="6.6640625" style="172" customWidth="1"/>
    <col min="6414" max="6414" width="1.5546875" style="172" customWidth="1"/>
    <col min="6415" max="6415" width="6.33203125" style="172" customWidth="1"/>
    <col min="6416" max="6420" width="6.6640625" style="172" customWidth="1"/>
    <col min="6421" max="6656" width="11.5546875" style="172"/>
    <col min="6657" max="6657" width="6.6640625" style="172" customWidth="1"/>
    <col min="6658" max="6658" width="1.5546875" style="172" customWidth="1"/>
    <col min="6659" max="6659" width="9.33203125" style="172" customWidth="1"/>
    <col min="6660" max="6660" width="1.5546875" style="172" customWidth="1"/>
    <col min="6661" max="6661" width="6.6640625" style="172" customWidth="1"/>
    <col min="6662" max="6664" width="9.33203125" style="172" customWidth="1"/>
    <col min="6665" max="6665" width="11" style="172" customWidth="1"/>
    <col min="6666" max="6667" width="6.6640625" style="172" customWidth="1"/>
    <col min="6668" max="6668" width="5.6640625" style="172" customWidth="1"/>
    <col min="6669" max="6669" width="6.6640625" style="172" customWidth="1"/>
    <col min="6670" max="6670" width="1.5546875" style="172" customWidth="1"/>
    <col min="6671" max="6671" width="6.33203125" style="172" customWidth="1"/>
    <col min="6672" max="6676" width="6.6640625" style="172" customWidth="1"/>
    <col min="6677" max="6912" width="11.5546875" style="172"/>
    <col min="6913" max="6913" width="6.6640625" style="172" customWidth="1"/>
    <col min="6914" max="6914" width="1.5546875" style="172" customWidth="1"/>
    <col min="6915" max="6915" width="9.33203125" style="172" customWidth="1"/>
    <col min="6916" max="6916" width="1.5546875" style="172" customWidth="1"/>
    <col min="6917" max="6917" width="6.6640625" style="172" customWidth="1"/>
    <col min="6918" max="6920" width="9.33203125" style="172" customWidth="1"/>
    <col min="6921" max="6921" width="11" style="172" customWidth="1"/>
    <col min="6922" max="6923" width="6.6640625" style="172" customWidth="1"/>
    <col min="6924" max="6924" width="5.6640625" style="172" customWidth="1"/>
    <col min="6925" max="6925" width="6.6640625" style="172" customWidth="1"/>
    <col min="6926" max="6926" width="1.5546875" style="172" customWidth="1"/>
    <col min="6927" max="6927" width="6.33203125" style="172" customWidth="1"/>
    <col min="6928" max="6932" width="6.6640625" style="172" customWidth="1"/>
    <col min="6933" max="7168" width="11.5546875" style="172"/>
    <col min="7169" max="7169" width="6.6640625" style="172" customWidth="1"/>
    <col min="7170" max="7170" width="1.5546875" style="172" customWidth="1"/>
    <col min="7171" max="7171" width="9.33203125" style="172" customWidth="1"/>
    <col min="7172" max="7172" width="1.5546875" style="172" customWidth="1"/>
    <col min="7173" max="7173" width="6.6640625" style="172" customWidth="1"/>
    <col min="7174" max="7176" width="9.33203125" style="172" customWidth="1"/>
    <col min="7177" max="7177" width="11" style="172" customWidth="1"/>
    <col min="7178" max="7179" width="6.6640625" style="172" customWidth="1"/>
    <col min="7180" max="7180" width="5.6640625" style="172" customWidth="1"/>
    <col min="7181" max="7181" width="6.6640625" style="172" customWidth="1"/>
    <col min="7182" max="7182" width="1.5546875" style="172" customWidth="1"/>
    <col min="7183" max="7183" width="6.33203125" style="172" customWidth="1"/>
    <col min="7184" max="7188" width="6.6640625" style="172" customWidth="1"/>
    <col min="7189" max="7424" width="11.5546875" style="172"/>
    <col min="7425" max="7425" width="6.6640625" style="172" customWidth="1"/>
    <col min="7426" max="7426" width="1.5546875" style="172" customWidth="1"/>
    <col min="7427" max="7427" width="9.33203125" style="172" customWidth="1"/>
    <col min="7428" max="7428" width="1.5546875" style="172" customWidth="1"/>
    <col min="7429" max="7429" width="6.6640625" style="172" customWidth="1"/>
    <col min="7430" max="7432" width="9.33203125" style="172" customWidth="1"/>
    <col min="7433" max="7433" width="11" style="172" customWidth="1"/>
    <col min="7434" max="7435" width="6.6640625" style="172" customWidth="1"/>
    <col min="7436" max="7436" width="5.6640625" style="172" customWidth="1"/>
    <col min="7437" max="7437" width="6.6640625" style="172" customWidth="1"/>
    <col min="7438" max="7438" width="1.5546875" style="172" customWidth="1"/>
    <col min="7439" max="7439" width="6.33203125" style="172" customWidth="1"/>
    <col min="7440" max="7444" width="6.6640625" style="172" customWidth="1"/>
    <col min="7445" max="7680" width="11.5546875" style="172"/>
    <col min="7681" max="7681" width="6.6640625" style="172" customWidth="1"/>
    <col min="7682" max="7682" width="1.5546875" style="172" customWidth="1"/>
    <col min="7683" max="7683" width="9.33203125" style="172" customWidth="1"/>
    <col min="7684" max="7684" width="1.5546875" style="172" customWidth="1"/>
    <col min="7685" max="7685" width="6.6640625" style="172" customWidth="1"/>
    <col min="7686" max="7688" width="9.33203125" style="172" customWidth="1"/>
    <col min="7689" max="7689" width="11" style="172" customWidth="1"/>
    <col min="7690" max="7691" width="6.6640625" style="172" customWidth="1"/>
    <col min="7692" max="7692" width="5.6640625" style="172" customWidth="1"/>
    <col min="7693" max="7693" width="6.6640625" style="172" customWidth="1"/>
    <col min="7694" max="7694" width="1.5546875" style="172" customWidth="1"/>
    <col min="7695" max="7695" width="6.33203125" style="172" customWidth="1"/>
    <col min="7696" max="7700" width="6.6640625" style="172" customWidth="1"/>
    <col min="7701" max="7936" width="11.5546875" style="172"/>
    <col min="7937" max="7937" width="6.6640625" style="172" customWidth="1"/>
    <col min="7938" max="7938" width="1.5546875" style="172" customWidth="1"/>
    <col min="7939" max="7939" width="9.33203125" style="172" customWidth="1"/>
    <col min="7940" max="7940" width="1.5546875" style="172" customWidth="1"/>
    <col min="7941" max="7941" width="6.6640625" style="172" customWidth="1"/>
    <col min="7942" max="7944" width="9.33203125" style="172" customWidth="1"/>
    <col min="7945" max="7945" width="11" style="172" customWidth="1"/>
    <col min="7946" max="7947" width="6.6640625" style="172" customWidth="1"/>
    <col min="7948" max="7948" width="5.6640625" style="172" customWidth="1"/>
    <col min="7949" max="7949" width="6.6640625" style="172" customWidth="1"/>
    <col min="7950" max="7950" width="1.5546875" style="172" customWidth="1"/>
    <col min="7951" max="7951" width="6.33203125" style="172" customWidth="1"/>
    <col min="7952" max="7956" width="6.6640625" style="172" customWidth="1"/>
    <col min="7957" max="8192" width="11.5546875" style="172"/>
    <col min="8193" max="8193" width="6.6640625" style="172" customWidth="1"/>
    <col min="8194" max="8194" width="1.5546875" style="172" customWidth="1"/>
    <col min="8195" max="8195" width="9.33203125" style="172" customWidth="1"/>
    <col min="8196" max="8196" width="1.5546875" style="172" customWidth="1"/>
    <col min="8197" max="8197" width="6.6640625" style="172" customWidth="1"/>
    <col min="8198" max="8200" width="9.33203125" style="172" customWidth="1"/>
    <col min="8201" max="8201" width="11" style="172" customWidth="1"/>
    <col min="8202" max="8203" width="6.6640625" style="172" customWidth="1"/>
    <col min="8204" max="8204" width="5.6640625" style="172" customWidth="1"/>
    <col min="8205" max="8205" width="6.6640625" style="172" customWidth="1"/>
    <col min="8206" max="8206" width="1.5546875" style="172" customWidth="1"/>
    <col min="8207" max="8207" width="6.33203125" style="172" customWidth="1"/>
    <col min="8208" max="8212" width="6.6640625" style="172" customWidth="1"/>
    <col min="8213" max="8448" width="11.5546875" style="172"/>
    <col min="8449" max="8449" width="6.6640625" style="172" customWidth="1"/>
    <col min="8450" max="8450" width="1.5546875" style="172" customWidth="1"/>
    <col min="8451" max="8451" width="9.33203125" style="172" customWidth="1"/>
    <col min="8452" max="8452" width="1.5546875" style="172" customWidth="1"/>
    <col min="8453" max="8453" width="6.6640625" style="172" customWidth="1"/>
    <col min="8454" max="8456" width="9.33203125" style="172" customWidth="1"/>
    <col min="8457" max="8457" width="11" style="172" customWidth="1"/>
    <col min="8458" max="8459" width="6.6640625" style="172" customWidth="1"/>
    <col min="8460" max="8460" width="5.6640625" style="172" customWidth="1"/>
    <col min="8461" max="8461" width="6.6640625" style="172" customWidth="1"/>
    <col min="8462" max="8462" width="1.5546875" style="172" customWidth="1"/>
    <col min="8463" max="8463" width="6.33203125" style="172" customWidth="1"/>
    <col min="8464" max="8468" width="6.6640625" style="172" customWidth="1"/>
    <col min="8469" max="8704" width="11.5546875" style="172"/>
    <col min="8705" max="8705" width="6.6640625" style="172" customWidth="1"/>
    <col min="8706" max="8706" width="1.5546875" style="172" customWidth="1"/>
    <col min="8707" max="8707" width="9.33203125" style="172" customWidth="1"/>
    <col min="8708" max="8708" width="1.5546875" style="172" customWidth="1"/>
    <col min="8709" max="8709" width="6.6640625" style="172" customWidth="1"/>
    <col min="8710" max="8712" width="9.33203125" style="172" customWidth="1"/>
    <col min="8713" max="8713" width="11" style="172" customWidth="1"/>
    <col min="8714" max="8715" width="6.6640625" style="172" customWidth="1"/>
    <col min="8716" max="8716" width="5.6640625" style="172" customWidth="1"/>
    <col min="8717" max="8717" width="6.6640625" style="172" customWidth="1"/>
    <col min="8718" max="8718" width="1.5546875" style="172" customWidth="1"/>
    <col min="8719" max="8719" width="6.33203125" style="172" customWidth="1"/>
    <col min="8720" max="8724" width="6.6640625" style="172" customWidth="1"/>
    <col min="8725" max="8960" width="11.5546875" style="172"/>
    <col min="8961" max="8961" width="6.6640625" style="172" customWidth="1"/>
    <col min="8962" max="8962" width="1.5546875" style="172" customWidth="1"/>
    <col min="8963" max="8963" width="9.33203125" style="172" customWidth="1"/>
    <col min="8964" max="8964" width="1.5546875" style="172" customWidth="1"/>
    <col min="8965" max="8965" width="6.6640625" style="172" customWidth="1"/>
    <col min="8966" max="8968" width="9.33203125" style="172" customWidth="1"/>
    <col min="8969" max="8969" width="11" style="172" customWidth="1"/>
    <col min="8970" max="8971" width="6.6640625" style="172" customWidth="1"/>
    <col min="8972" max="8972" width="5.6640625" style="172" customWidth="1"/>
    <col min="8973" max="8973" width="6.6640625" style="172" customWidth="1"/>
    <col min="8974" max="8974" width="1.5546875" style="172" customWidth="1"/>
    <col min="8975" max="8975" width="6.33203125" style="172" customWidth="1"/>
    <col min="8976" max="8980" width="6.6640625" style="172" customWidth="1"/>
    <col min="8981" max="9216" width="11.5546875" style="172"/>
    <col min="9217" max="9217" width="6.6640625" style="172" customWidth="1"/>
    <col min="9218" max="9218" width="1.5546875" style="172" customWidth="1"/>
    <col min="9219" max="9219" width="9.33203125" style="172" customWidth="1"/>
    <col min="9220" max="9220" width="1.5546875" style="172" customWidth="1"/>
    <col min="9221" max="9221" width="6.6640625" style="172" customWidth="1"/>
    <col min="9222" max="9224" width="9.33203125" style="172" customWidth="1"/>
    <col min="9225" max="9225" width="11" style="172" customWidth="1"/>
    <col min="9226" max="9227" width="6.6640625" style="172" customWidth="1"/>
    <col min="9228" max="9228" width="5.6640625" style="172" customWidth="1"/>
    <col min="9229" max="9229" width="6.6640625" style="172" customWidth="1"/>
    <col min="9230" max="9230" width="1.5546875" style="172" customWidth="1"/>
    <col min="9231" max="9231" width="6.33203125" style="172" customWidth="1"/>
    <col min="9232" max="9236" width="6.6640625" style="172" customWidth="1"/>
    <col min="9237" max="9472" width="11.5546875" style="172"/>
    <col min="9473" max="9473" width="6.6640625" style="172" customWidth="1"/>
    <col min="9474" max="9474" width="1.5546875" style="172" customWidth="1"/>
    <col min="9475" max="9475" width="9.33203125" style="172" customWidth="1"/>
    <col min="9476" max="9476" width="1.5546875" style="172" customWidth="1"/>
    <col min="9477" max="9477" width="6.6640625" style="172" customWidth="1"/>
    <col min="9478" max="9480" width="9.33203125" style="172" customWidth="1"/>
    <col min="9481" max="9481" width="11" style="172" customWidth="1"/>
    <col min="9482" max="9483" width="6.6640625" style="172" customWidth="1"/>
    <col min="9484" max="9484" width="5.6640625" style="172" customWidth="1"/>
    <col min="9485" max="9485" width="6.6640625" style="172" customWidth="1"/>
    <col min="9486" max="9486" width="1.5546875" style="172" customWidth="1"/>
    <col min="9487" max="9487" width="6.33203125" style="172" customWidth="1"/>
    <col min="9488" max="9492" width="6.6640625" style="172" customWidth="1"/>
    <col min="9493" max="9728" width="11.5546875" style="172"/>
    <col min="9729" max="9729" width="6.6640625" style="172" customWidth="1"/>
    <col min="9730" max="9730" width="1.5546875" style="172" customWidth="1"/>
    <col min="9731" max="9731" width="9.33203125" style="172" customWidth="1"/>
    <col min="9732" max="9732" width="1.5546875" style="172" customWidth="1"/>
    <col min="9733" max="9733" width="6.6640625" style="172" customWidth="1"/>
    <col min="9734" max="9736" width="9.33203125" style="172" customWidth="1"/>
    <col min="9737" max="9737" width="11" style="172" customWidth="1"/>
    <col min="9738" max="9739" width="6.6640625" style="172" customWidth="1"/>
    <col min="9740" max="9740" width="5.6640625" style="172" customWidth="1"/>
    <col min="9741" max="9741" width="6.6640625" style="172" customWidth="1"/>
    <col min="9742" max="9742" width="1.5546875" style="172" customWidth="1"/>
    <col min="9743" max="9743" width="6.33203125" style="172" customWidth="1"/>
    <col min="9744" max="9748" width="6.6640625" style="172" customWidth="1"/>
    <col min="9749" max="9984" width="11.5546875" style="172"/>
    <col min="9985" max="9985" width="6.6640625" style="172" customWidth="1"/>
    <col min="9986" max="9986" width="1.5546875" style="172" customWidth="1"/>
    <col min="9987" max="9987" width="9.33203125" style="172" customWidth="1"/>
    <col min="9988" max="9988" width="1.5546875" style="172" customWidth="1"/>
    <col min="9989" max="9989" width="6.6640625" style="172" customWidth="1"/>
    <col min="9990" max="9992" width="9.33203125" style="172" customWidth="1"/>
    <col min="9993" max="9993" width="11" style="172" customWidth="1"/>
    <col min="9994" max="9995" width="6.6640625" style="172" customWidth="1"/>
    <col min="9996" max="9996" width="5.6640625" style="172" customWidth="1"/>
    <col min="9997" max="9997" width="6.6640625" style="172" customWidth="1"/>
    <col min="9998" max="9998" width="1.5546875" style="172" customWidth="1"/>
    <col min="9999" max="9999" width="6.33203125" style="172" customWidth="1"/>
    <col min="10000" max="10004" width="6.6640625" style="172" customWidth="1"/>
    <col min="10005" max="10240" width="11.5546875" style="172"/>
    <col min="10241" max="10241" width="6.6640625" style="172" customWidth="1"/>
    <col min="10242" max="10242" width="1.5546875" style="172" customWidth="1"/>
    <col min="10243" max="10243" width="9.33203125" style="172" customWidth="1"/>
    <col min="10244" max="10244" width="1.5546875" style="172" customWidth="1"/>
    <col min="10245" max="10245" width="6.6640625" style="172" customWidth="1"/>
    <col min="10246" max="10248" width="9.33203125" style="172" customWidth="1"/>
    <col min="10249" max="10249" width="11" style="172" customWidth="1"/>
    <col min="10250" max="10251" width="6.6640625" style="172" customWidth="1"/>
    <col min="10252" max="10252" width="5.6640625" style="172" customWidth="1"/>
    <col min="10253" max="10253" width="6.6640625" style="172" customWidth="1"/>
    <col min="10254" max="10254" width="1.5546875" style="172" customWidth="1"/>
    <col min="10255" max="10255" width="6.33203125" style="172" customWidth="1"/>
    <col min="10256" max="10260" width="6.6640625" style="172" customWidth="1"/>
    <col min="10261" max="10496" width="11.5546875" style="172"/>
    <col min="10497" max="10497" width="6.6640625" style="172" customWidth="1"/>
    <col min="10498" max="10498" width="1.5546875" style="172" customWidth="1"/>
    <col min="10499" max="10499" width="9.33203125" style="172" customWidth="1"/>
    <col min="10500" max="10500" width="1.5546875" style="172" customWidth="1"/>
    <col min="10501" max="10501" width="6.6640625" style="172" customWidth="1"/>
    <col min="10502" max="10504" width="9.33203125" style="172" customWidth="1"/>
    <col min="10505" max="10505" width="11" style="172" customWidth="1"/>
    <col min="10506" max="10507" width="6.6640625" style="172" customWidth="1"/>
    <col min="10508" max="10508" width="5.6640625" style="172" customWidth="1"/>
    <col min="10509" max="10509" width="6.6640625" style="172" customWidth="1"/>
    <col min="10510" max="10510" width="1.5546875" style="172" customWidth="1"/>
    <col min="10511" max="10511" width="6.33203125" style="172" customWidth="1"/>
    <col min="10512" max="10516" width="6.6640625" style="172" customWidth="1"/>
    <col min="10517" max="10752" width="11.5546875" style="172"/>
    <col min="10753" max="10753" width="6.6640625" style="172" customWidth="1"/>
    <col min="10754" max="10754" width="1.5546875" style="172" customWidth="1"/>
    <col min="10755" max="10755" width="9.33203125" style="172" customWidth="1"/>
    <col min="10756" max="10756" width="1.5546875" style="172" customWidth="1"/>
    <col min="10757" max="10757" width="6.6640625" style="172" customWidth="1"/>
    <col min="10758" max="10760" width="9.33203125" style="172" customWidth="1"/>
    <col min="10761" max="10761" width="11" style="172" customWidth="1"/>
    <col min="10762" max="10763" width="6.6640625" style="172" customWidth="1"/>
    <col min="10764" max="10764" width="5.6640625" style="172" customWidth="1"/>
    <col min="10765" max="10765" width="6.6640625" style="172" customWidth="1"/>
    <col min="10766" max="10766" width="1.5546875" style="172" customWidth="1"/>
    <col min="10767" max="10767" width="6.33203125" style="172" customWidth="1"/>
    <col min="10768" max="10772" width="6.6640625" style="172" customWidth="1"/>
    <col min="10773" max="11008" width="11.5546875" style="172"/>
    <col min="11009" max="11009" width="6.6640625" style="172" customWidth="1"/>
    <col min="11010" max="11010" width="1.5546875" style="172" customWidth="1"/>
    <col min="11011" max="11011" width="9.33203125" style="172" customWidth="1"/>
    <col min="11012" max="11012" width="1.5546875" style="172" customWidth="1"/>
    <col min="11013" max="11013" width="6.6640625" style="172" customWidth="1"/>
    <col min="11014" max="11016" width="9.33203125" style="172" customWidth="1"/>
    <col min="11017" max="11017" width="11" style="172" customWidth="1"/>
    <col min="11018" max="11019" width="6.6640625" style="172" customWidth="1"/>
    <col min="11020" max="11020" width="5.6640625" style="172" customWidth="1"/>
    <col min="11021" max="11021" width="6.6640625" style="172" customWidth="1"/>
    <col min="11022" max="11022" width="1.5546875" style="172" customWidth="1"/>
    <col min="11023" max="11023" width="6.33203125" style="172" customWidth="1"/>
    <col min="11024" max="11028" width="6.6640625" style="172" customWidth="1"/>
    <col min="11029" max="11264" width="11.5546875" style="172"/>
    <col min="11265" max="11265" width="6.6640625" style="172" customWidth="1"/>
    <col min="11266" max="11266" width="1.5546875" style="172" customWidth="1"/>
    <col min="11267" max="11267" width="9.33203125" style="172" customWidth="1"/>
    <col min="11268" max="11268" width="1.5546875" style="172" customWidth="1"/>
    <col min="11269" max="11269" width="6.6640625" style="172" customWidth="1"/>
    <col min="11270" max="11272" width="9.33203125" style="172" customWidth="1"/>
    <col min="11273" max="11273" width="11" style="172" customWidth="1"/>
    <col min="11274" max="11275" width="6.6640625" style="172" customWidth="1"/>
    <col min="11276" max="11276" width="5.6640625" style="172" customWidth="1"/>
    <col min="11277" max="11277" width="6.6640625" style="172" customWidth="1"/>
    <col min="11278" max="11278" width="1.5546875" style="172" customWidth="1"/>
    <col min="11279" max="11279" width="6.33203125" style="172" customWidth="1"/>
    <col min="11280" max="11284" width="6.6640625" style="172" customWidth="1"/>
    <col min="11285" max="11520" width="11.5546875" style="172"/>
    <col min="11521" max="11521" width="6.6640625" style="172" customWidth="1"/>
    <col min="11522" max="11522" width="1.5546875" style="172" customWidth="1"/>
    <col min="11523" max="11523" width="9.33203125" style="172" customWidth="1"/>
    <col min="11524" max="11524" width="1.5546875" style="172" customWidth="1"/>
    <col min="11525" max="11525" width="6.6640625" style="172" customWidth="1"/>
    <col min="11526" max="11528" width="9.33203125" style="172" customWidth="1"/>
    <col min="11529" max="11529" width="11" style="172" customWidth="1"/>
    <col min="11530" max="11531" width="6.6640625" style="172" customWidth="1"/>
    <col min="11532" max="11532" width="5.6640625" style="172" customWidth="1"/>
    <col min="11533" max="11533" width="6.6640625" style="172" customWidth="1"/>
    <col min="11534" max="11534" width="1.5546875" style="172" customWidth="1"/>
    <col min="11535" max="11535" width="6.33203125" style="172" customWidth="1"/>
    <col min="11536" max="11540" width="6.6640625" style="172" customWidth="1"/>
    <col min="11541" max="11776" width="11.5546875" style="172"/>
    <col min="11777" max="11777" width="6.6640625" style="172" customWidth="1"/>
    <col min="11778" max="11778" width="1.5546875" style="172" customWidth="1"/>
    <col min="11779" max="11779" width="9.33203125" style="172" customWidth="1"/>
    <col min="11780" max="11780" width="1.5546875" style="172" customWidth="1"/>
    <col min="11781" max="11781" width="6.6640625" style="172" customWidth="1"/>
    <col min="11782" max="11784" width="9.33203125" style="172" customWidth="1"/>
    <col min="11785" max="11785" width="11" style="172" customWidth="1"/>
    <col min="11786" max="11787" width="6.6640625" style="172" customWidth="1"/>
    <col min="11788" max="11788" width="5.6640625" style="172" customWidth="1"/>
    <col min="11789" max="11789" width="6.6640625" style="172" customWidth="1"/>
    <col min="11790" max="11790" width="1.5546875" style="172" customWidth="1"/>
    <col min="11791" max="11791" width="6.33203125" style="172" customWidth="1"/>
    <col min="11792" max="11796" width="6.6640625" style="172" customWidth="1"/>
    <col min="11797" max="12032" width="11.5546875" style="172"/>
    <col min="12033" max="12033" width="6.6640625" style="172" customWidth="1"/>
    <col min="12034" max="12034" width="1.5546875" style="172" customWidth="1"/>
    <col min="12035" max="12035" width="9.33203125" style="172" customWidth="1"/>
    <col min="12036" max="12036" width="1.5546875" style="172" customWidth="1"/>
    <col min="12037" max="12037" width="6.6640625" style="172" customWidth="1"/>
    <col min="12038" max="12040" width="9.33203125" style="172" customWidth="1"/>
    <col min="12041" max="12041" width="11" style="172" customWidth="1"/>
    <col min="12042" max="12043" width="6.6640625" style="172" customWidth="1"/>
    <col min="12044" max="12044" width="5.6640625" style="172" customWidth="1"/>
    <col min="12045" max="12045" width="6.6640625" style="172" customWidth="1"/>
    <col min="12046" max="12046" width="1.5546875" style="172" customWidth="1"/>
    <col min="12047" max="12047" width="6.33203125" style="172" customWidth="1"/>
    <col min="12048" max="12052" width="6.6640625" style="172" customWidth="1"/>
    <col min="12053" max="12288" width="11.5546875" style="172"/>
    <col min="12289" max="12289" width="6.6640625" style="172" customWidth="1"/>
    <col min="12290" max="12290" width="1.5546875" style="172" customWidth="1"/>
    <col min="12291" max="12291" width="9.33203125" style="172" customWidth="1"/>
    <col min="12292" max="12292" width="1.5546875" style="172" customWidth="1"/>
    <col min="12293" max="12293" width="6.6640625" style="172" customWidth="1"/>
    <col min="12294" max="12296" width="9.33203125" style="172" customWidth="1"/>
    <col min="12297" max="12297" width="11" style="172" customWidth="1"/>
    <col min="12298" max="12299" width="6.6640625" style="172" customWidth="1"/>
    <col min="12300" max="12300" width="5.6640625" style="172" customWidth="1"/>
    <col min="12301" max="12301" width="6.6640625" style="172" customWidth="1"/>
    <col min="12302" max="12302" width="1.5546875" style="172" customWidth="1"/>
    <col min="12303" max="12303" width="6.33203125" style="172" customWidth="1"/>
    <col min="12304" max="12308" width="6.6640625" style="172" customWidth="1"/>
    <col min="12309" max="12544" width="11.5546875" style="172"/>
    <col min="12545" max="12545" width="6.6640625" style="172" customWidth="1"/>
    <col min="12546" max="12546" width="1.5546875" style="172" customWidth="1"/>
    <col min="12547" max="12547" width="9.33203125" style="172" customWidth="1"/>
    <col min="12548" max="12548" width="1.5546875" style="172" customWidth="1"/>
    <col min="12549" max="12549" width="6.6640625" style="172" customWidth="1"/>
    <col min="12550" max="12552" width="9.33203125" style="172" customWidth="1"/>
    <col min="12553" max="12553" width="11" style="172" customWidth="1"/>
    <col min="12554" max="12555" width="6.6640625" style="172" customWidth="1"/>
    <col min="12556" max="12556" width="5.6640625" style="172" customWidth="1"/>
    <col min="12557" max="12557" width="6.6640625" style="172" customWidth="1"/>
    <col min="12558" max="12558" width="1.5546875" style="172" customWidth="1"/>
    <col min="12559" max="12559" width="6.33203125" style="172" customWidth="1"/>
    <col min="12560" max="12564" width="6.6640625" style="172" customWidth="1"/>
    <col min="12565" max="12800" width="11.5546875" style="172"/>
    <col min="12801" max="12801" width="6.6640625" style="172" customWidth="1"/>
    <col min="12802" max="12802" width="1.5546875" style="172" customWidth="1"/>
    <col min="12803" max="12803" width="9.33203125" style="172" customWidth="1"/>
    <col min="12804" max="12804" width="1.5546875" style="172" customWidth="1"/>
    <col min="12805" max="12805" width="6.6640625" style="172" customWidth="1"/>
    <col min="12806" max="12808" width="9.33203125" style="172" customWidth="1"/>
    <col min="12809" max="12809" width="11" style="172" customWidth="1"/>
    <col min="12810" max="12811" width="6.6640625" style="172" customWidth="1"/>
    <col min="12812" max="12812" width="5.6640625" style="172" customWidth="1"/>
    <col min="12813" max="12813" width="6.6640625" style="172" customWidth="1"/>
    <col min="12814" max="12814" width="1.5546875" style="172" customWidth="1"/>
    <col min="12815" max="12815" width="6.33203125" style="172" customWidth="1"/>
    <col min="12816" max="12820" width="6.6640625" style="172" customWidth="1"/>
    <col min="12821" max="13056" width="11.5546875" style="172"/>
    <col min="13057" max="13057" width="6.6640625" style="172" customWidth="1"/>
    <col min="13058" max="13058" width="1.5546875" style="172" customWidth="1"/>
    <col min="13059" max="13059" width="9.33203125" style="172" customWidth="1"/>
    <col min="13060" max="13060" width="1.5546875" style="172" customWidth="1"/>
    <col min="13061" max="13061" width="6.6640625" style="172" customWidth="1"/>
    <col min="13062" max="13064" width="9.33203125" style="172" customWidth="1"/>
    <col min="13065" max="13065" width="11" style="172" customWidth="1"/>
    <col min="13066" max="13067" width="6.6640625" style="172" customWidth="1"/>
    <col min="13068" max="13068" width="5.6640625" style="172" customWidth="1"/>
    <col min="13069" max="13069" width="6.6640625" style="172" customWidth="1"/>
    <col min="13070" max="13070" width="1.5546875" style="172" customWidth="1"/>
    <col min="13071" max="13071" width="6.33203125" style="172" customWidth="1"/>
    <col min="13072" max="13076" width="6.6640625" style="172" customWidth="1"/>
    <col min="13077" max="13312" width="11.5546875" style="172"/>
    <col min="13313" max="13313" width="6.6640625" style="172" customWidth="1"/>
    <col min="13314" max="13314" width="1.5546875" style="172" customWidth="1"/>
    <col min="13315" max="13315" width="9.33203125" style="172" customWidth="1"/>
    <col min="13316" max="13316" width="1.5546875" style="172" customWidth="1"/>
    <col min="13317" max="13317" width="6.6640625" style="172" customWidth="1"/>
    <col min="13318" max="13320" width="9.33203125" style="172" customWidth="1"/>
    <col min="13321" max="13321" width="11" style="172" customWidth="1"/>
    <col min="13322" max="13323" width="6.6640625" style="172" customWidth="1"/>
    <col min="13324" max="13324" width="5.6640625" style="172" customWidth="1"/>
    <col min="13325" max="13325" width="6.6640625" style="172" customWidth="1"/>
    <col min="13326" max="13326" width="1.5546875" style="172" customWidth="1"/>
    <col min="13327" max="13327" width="6.33203125" style="172" customWidth="1"/>
    <col min="13328" max="13332" width="6.6640625" style="172" customWidth="1"/>
    <col min="13333" max="13568" width="11.5546875" style="172"/>
    <col min="13569" max="13569" width="6.6640625" style="172" customWidth="1"/>
    <col min="13570" max="13570" width="1.5546875" style="172" customWidth="1"/>
    <col min="13571" max="13571" width="9.33203125" style="172" customWidth="1"/>
    <col min="13572" max="13572" width="1.5546875" style="172" customWidth="1"/>
    <col min="13573" max="13573" width="6.6640625" style="172" customWidth="1"/>
    <col min="13574" max="13576" width="9.33203125" style="172" customWidth="1"/>
    <col min="13577" max="13577" width="11" style="172" customWidth="1"/>
    <col min="13578" max="13579" width="6.6640625" style="172" customWidth="1"/>
    <col min="13580" max="13580" width="5.6640625" style="172" customWidth="1"/>
    <col min="13581" max="13581" width="6.6640625" style="172" customWidth="1"/>
    <col min="13582" max="13582" width="1.5546875" style="172" customWidth="1"/>
    <col min="13583" max="13583" width="6.33203125" style="172" customWidth="1"/>
    <col min="13584" max="13588" width="6.6640625" style="172" customWidth="1"/>
    <col min="13589" max="13824" width="11.5546875" style="172"/>
    <col min="13825" max="13825" width="6.6640625" style="172" customWidth="1"/>
    <col min="13826" max="13826" width="1.5546875" style="172" customWidth="1"/>
    <col min="13827" max="13827" width="9.33203125" style="172" customWidth="1"/>
    <col min="13828" max="13828" width="1.5546875" style="172" customWidth="1"/>
    <col min="13829" max="13829" width="6.6640625" style="172" customWidth="1"/>
    <col min="13830" max="13832" width="9.33203125" style="172" customWidth="1"/>
    <col min="13833" max="13833" width="11" style="172" customWidth="1"/>
    <col min="13834" max="13835" width="6.6640625" style="172" customWidth="1"/>
    <col min="13836" max="13836" width="5.6640625" style="172" customWidth="1"/>
    <col min="13837" max="13837" width="6.6640625" style="172" customWidth="1"/>
    <col min="13838" max="13838" width="1.5546875" style="172" customWidth="1"/>
    <col min="13839" max="13839" width="6.33203125" style="172" customWidth="1"/>
    <col min="13840" max="13844" width="6.6640625" style="172" customWidth="1"/>
    <col min="13845" max="14080" width="11.5546875" style="172"/>
    <col min="14081" max="14081" width="6.6640625" style="172" customWidth="1"/>
    <col min="14082" max="14082" width="1.5546875" style="172" customWidth="1"/>
    <col min="14083" max="14083" width="9.33203125" style="172" customWidth="1"/>
    <col min="14084" max="14084" width="1.5546875" style="172" customWidth="1"/>
    <col min="14085" max="14085" width="6.6640625" style="172" customWidth="1"/>
    <col min="14086" max="14088" width="9.33203125" style="172" customWidth="1"/>
    <col min="14089" max="14089" width="11" style="172" customWidth="1"/>
    <col min="14090" max="14091" width="6.6640625" style="172" customWidth="1"/>
    <col min="14092" max="14092" width="5.6640625" style="172" customWidth="1"/>
    <col min="14093" max="14093" width="6.6640625" style="172" customWidth="1"/>
    <col min="14094" max="14094" width="1.5546875" style="172" customWidth="1"/>
    <col min="14095" max="14095" width="6.33203125" style="172" customWidth="1"/>
    <col min="14096" max="14100" width="6.6640625" style="172" customWidth="1"/>
    <col min="14101" max="14336" width="11.5546875" style="172"/>
    <col min="14337" max="14337" width="6.6640625" style="172" customWidth="1"/>
    <col min="14338" max="14338" width="1.5546875" style="172" customWidth="1"/>
    <col min="14339" max="14339" width="9.33203125" style="172" customWidth="1"/>
    <col min="14340" max="14340" width="1.5546875" style="172" customWidth="1"/>
    <col min="14341" max="14341" width="6.6640625" style="172" customWidth="1"/>
    <col min="14342" max="14344" width="9.33203125" style="172" customWidth="1"/>
    <col min="14345" max="14345" width="11" style="172" customWidth="1"/>
    <col min="14346" max="14347" width="6.6640625" style="172" customWidth="1"/>
    <col min="14348" max="14348" width="5.6640625" style="172" customWidth="1"/>
    <col min="14349" max="14349" width="6.6640625" style="172" customWidth="1"/>
    <col min="14350" max="14350" width="1.5546875" style="172" customWidth="1"/>
    <col min="14351" max="14351" width="6.33203125" style="172" customWidth="1"/>
    <col min="14352" max="14356" width="6.6640625" style="172" customWidth="1"/>
    <col min="14357" max="14592" width="11.5546875" style="172"/>
    <col min="14593" max="14593" width="6.6640625" style="172" customWidth="1"/>
    <col min="14594" max="14594" width="1.5546875" style="172" customWidth="1"/>
    <col min="14595" max="14595" width="9.33203125" style="172" customWidth="1"/>
    <col min="14596" max="14596" width="1.5546875" style="172" customWidth="1"/>
    <col min="14597" max="14597" width="6.6640625" style="172" customWidth="1"/>
    <col min="14598" max="14600" width="9.33203125" style="172" customWidth="1"/>
    <col min="14601" max="14601" width="11" style="172" customWidth="1"/>
    <col min="14602" max="14603" width="6.6640625" style="172" customWidth="1"/>
    <col min="14604" max="14604" width="5.6640625" style="172" customWidth="1"/>
    <col min="14605" max="14605" width="6.6640625" style="172" customWidth="1"/>
    <col min="14606" max="14606" width="1.5546875" style="172" customWidth="1"/>
    <col min="14607" max="14607" width="6.33203125" style="172" customWidth="1"/>
    <col min="14608" max="14612" width="6.6640625" style="172" customWidth="1"/>
    <col min="14613" max="14848" width="11.5546875" style="172"/>
    <col min="14849" max="14849" width="6.6640625" style="172" customWidth="1"/>
    <col min="14850" max="14850" width="1.5546875" style="172" customWidth="1"/>
    <col min="14851" max="14851" width="9.33203125" style="172" customWidth="1"/>
    <col min="14852" max="14852" width="1.5546875" style="172" customWidth="1"/>
    <col min="14853" max="14853" width="6.6640625" style="172" customWidth="1"/>
    <col min="14854" max="14856" width="9.33203125" style="172" customWidth="1"/>
    <col min="14857" max="14857" width="11" style="172" customWidth="1"/>
    <col min="14858" max="14859" width="6.6640625" style="172" customWidth="1"/>
    <col min="14860" max="14860" width="5.6640625" style="172" customWidth="1"/>
    <col min="14861" max="14861" width="6.6640625" style="172" customWidth="1"/>
    <col min="14862" max="14862" width="1.5546875" style="172" customWidth="1"/>
    <col min="14863" max="14863" width="6.33203125" style="172" customWidth="1"/>
    <col min="14864" max="14868" width="6.6640625" style="172" customWidth="1"/>
    <col min="14869" max="15104" width="11.5546875" style="172"/>
    <col min="15105" max="15105" width="6.6640625" style="172" customWidth="1"/>
    <col min="15106" max="15106" width="1.5546875" style="172" customWidth="1"/>
    <col min="15107" max="15107" width="9.33203125" style="172" customWidth="1"/>
    <col min="15108" max="15108" width="1.5546875" style="172" customWidth="1"/>
    <col min="15109" max="15109" width="6.6640625" style="172" customWidth="1"/>
    <col min="15110" max="15112" width="9.33203125" style="172" customWidth="1"/>
    <col min="15113" max="15113" width="11" style="172" customWidth="1"/>
    <col min="15114" max="15115" width="6.6640625" style="172" customWidth="1"/>
    <col min="15116" max="15116" width="5.6640625" style="172" customWidth="1"/>
    <col min="15117" max="15117" width="6.6640625" style="172" customWidth="1"/>
    <col min="15118" max="15118" width="1.5546875" style="172" customWidth="1"/>
    <col min="15119" max="15119" width="6.33203125" style="172" customWidth="1"/>
    <col min="15120" max="15124" width="6.6640625" style="172" customWidth="1"/>
    <col min="15125" max="15360" width="11.5546875" style="172"/>
    <col min="15361" max="15361" width="6.6640625" style="172" customWidth="1"/>
    <col min="15362" max="15362" width="1.5546875" style="172" customWidth="1"/>
    <col min="15363" max="15363" width="9.33203125" style="172" customWidth="1"/>
    <col min="15364" max="15364" width="1.5546875" style="172" customWidth="1"/>
    <col min="15365" max="15365" width="6.6640625" style="172" customWidth="1"/>
    <col min="15366" max="15368" width="9.33203125" style="172" customWidth="1"/>
    <col min="15369" max="15369" width="11" style="172" customWidth="1"/>
    <col min="15370" max="15371" width="6.6640625" style="172" customWidth="1"/>
    <col min="15372" max="15372" width="5.6640625" style="172" customWidth="1"/>
    <col min="15373" max="15373" width="6.6640625" style="172" customWidth="1"/>
    <col min="15374" max="15374" width="1.5546875" style="172" customWidth="1"/>
    <col min="15375" max="15375" width="6.33203125" style="172" customWidth="1"/>
    <col min="15376" max="15380" width="6.6640625" style="172" customWidth="1"/>
    <col min="15381" max="15616" width="11.5546875" style="172"/>
    <col min="15617" max="15617" width="6.6640625" style="172" customWidth="1"/>
    <col min="15618" max="15618" width="1.5546875" style="172" customWidth="1"/>
    <col min="15619" max="15619" width="9.33203125" style="172" customWidth="1"/>
    <col min="15620" max="15620" width="1.5546875" style="172" customWidth="1"/>
    <col min="15621" max="15621" width="6.6640625" style="172" customWidth="1"/>
    <col min="15622" max="15624" width="9.33203125" style="172" customWidth="1"/>
    <col min="15625" max="15625" width="11" style="172" customWidth="1"/>
    <col min="15626" max="15627" width="6.6640625" style="172" customWidth="1"/>
    <col min="15628" max="15628" width="5.6640625" style="172" customWidth="1"/>
    <col min="15629" max="15629" width="6.6640625" style="172" customWidth="1"/>
    <col min="15630" max="15630" width="1.5546875" style="172" customWidth="1"/>
    <col min="15631" max="15631" width="6.33203125" style="172" customWidth="1"/>
    <col min="15632" max="15636" width="6.6640625" style="172" customWidth="1"/>
    <col min="15637" max="15872" width="11.5546875" style="172"/>
    <col min="15873" max="15873" width="6.6640625" style="172" customWidth="1"/>
    <col min="15874" max="15874" width="1.5546875" style="172" customWidth="1"/>
    <col min="15875" max="15875" width="9.33203125" style="172" customWidth="1"/>
    <col min="15876" max="15876" width="1.5546875" style="172" customWidth="1"/>
    <col min="15877" max="15877" width="6.6640625" style="172" customWidth="1"/>
    <col min="15878" max="15880" width="9.33203125" style="172" customWidth="1"/>
    <col min="15881" max="15881" width="11" style="172" customWidth="1"/>
    <col min="15882" max="15883" width="6.6640625" style="172" customWidth="1"/>
    <col min="15884" max="15884" width="5.6640625" style="172" customWidth="1"/>
    <col min="15885" max="15885" width="6.6640625" style="172" customWidth="1"/>
    <col min="15886" max="15886" width="1.5546875" style="172" customWidth="1"/>
    <col min="15887" max="15887" width="6.33203125" style="172" customWidth="1"/>
    <col min="15888" max="15892" width="6.6640625" style="172" customWidth="1"/>
    <col min="15893" max="16128" width="11.5546875" style="172"/>
    <col min="16129" max="16129" width="6.6640625" style="172" customWidth="1"/>
    <col min="16130" max="16130" width="1.5546875" style="172" customWidth="1"/>
    <col min="16131" max="16131" width="9.33203125" style="172" customWidth="1"/>
    <col min="16132" max="16132" width="1.5546875" style="172" customWidth="1"/>
    <col min="16133" max="16133" width="6.6640625" style="172" customWidth="1"/>
    <col min="16134" max="16136" width="9.33203125" style="172" customWidth="1"/>
    <col min="16137" max="16137" width="11" style="172" customWidth="1"/>
    <col min="16138" max="16139" width="6.6640625" style="172" customWidth="1"/>
    <col min="16140" max="16140" width="5.6640625" style="172" customWidth="1"/>
    <col min="16141" max="16141" width="6.6640625" style="172" customWidth="1"/>
    <col min="16142" max="16142" width="1.5546875" style="172" customWidth="1"/>
    <col min="16143" max="16143" width="6.33203125" style="172" customWidth="1"/>
    <col min="16144" max="16148" width="6.6640625" style="172" customWidth="1"/>
    <col min="16149" max="16384" width="11.5546875" style="172"/>
  </cols>
  <sheetData>
    <row r="1" spans="1:20" x14ac:dyDescent="0.25">
      <c r="A1" s="53" t="s">
        <v>753</v>
      </c>
      <c r="B1" s="54" t="str">
        <f>+Info!C10</f>
        <v>Clinique Ste-Mammo</v>
      </c>
      <c r="C1" s="55"/>
      <c r="D1" s="55"/>
      <c r="E1" s="56" t="s">
        <v>755</v>
      </c>
      <c r="F1" s="55"/>
      <c r="G1" s="55"/>
      <c r="H1" s="203" t="str">
        <f>+Info!C37</f>
        <v>20-01-2020</v>
      </c>
      <c r="J1" s="1398" t="s">
        <v>1120</v>
      </c>
    </row>
    <row r="2" spans="1:20" x14ac:dyDescent="0.25">
      <c r="A2" s="58" t="s">
        <v>754</v>
      </c>
      <c r="B2" s="59" t="str">
        <f>+Info!C21</f>
        <v>Salle 2, Hirad IV</v>
      </c>
      <c r="C2" s="51"/>
      <c r="D2" s="51"/>
      <c r="E2" s="60" t="s">
        <v>756</v>
      </c>
      <c r="F2" s="51"/>
      <c r="G2" s="51"/>
      <c r="H2" s="61" t="str">
        <f>+Info!C35</f>
        <v>Alexandre Toussaint</v>
      </c>
      <c r="J2" s="1398" t="s">
        <v>1149</v>
      </c>
    </row>
    <row r="3" spans="1:20" x14ac:dyDescent="0.25">
      <c r="A3" s="176"/>
      <c r="B3" s="176"/>
      <c r="C3" s="176"/>
      <c r="D3" s="176"/>
      <c r="E3" s="176"/>
      <c r="F3" s="176"/>
      <c r="G3" s="176"/>
      <c r="H3" s="176"/>
      <c r="J3" s="1398" t="s">
        <v>1150</v>
      </c>
    </row>
    <row r="4" spans="1:20" x14ac:dyDescent="0.25">
      <c r="A4" s="116" t="s">
        <v>1073</v>
      </c>
      <c r="B4" s="116"/>
      <c r="C4" s="116"/>
      <c r="D4" s="116"/>
      <c r="E4" s="116"/>
      <c r="F4" s="116"/>
      <c r="G4" s="116"/>
      <c r="H4" s="116"/>
      <c r="I4" s="447"/>
      <c r="J4" s="496" t="s">
        <v>1154</v>
      </c>
      <c r="K4" s="448"/>
      <c r="L4" s="448"/>
      <c r="M4" s="448"/>
    </row>
    <row r="5" spans="1:20" ht="15.6" x14ac:dyDescent="0.3">
      <c r="A5" s="177" t="s">
        <v>803</v>
      </c>
      <c r="B5" s="1399" t="s">
        <v>143</v>
      </c>
      <c r="C5" s="1399" t="s">
        <v>143</v>
      </c>
      <c r="D5" s="176"/>
      <c r="E5" s="176"/>
      <c r="F5" s="176"/>
      <c r="G5" s="176"/>
      <c r="H5" s="176"/>
      <c r="I5" s="449"/>
      <c r="J5" s="450"/>
      <c r="K5" s="450"/>
      <c r="L5" s="450"/>
    </row>
    <row r="6" spans="1:20" ht="13.2" customHeight="1" x14ac:dyDescent="0.25">
      <c r="A6" s="179" t="s">
        <v>793</v>
      </c>
      <c r="B6" s="1291">
        <v>45</v>
      </c>
      <c r="C6" s="1291">
        <v>45</v>
      </c>
      <c r="D6" s="176"/>
      <c r="E6" s="176"/>
      <c r="F6" s="176"/>
      <c r="G6" s="176"/>
      <c r="H6" s="176"/>
      <c r="J6" s="451" t="s">
        <v>1074</v>
      </c>
      <c r="K6" s="452"/>
      <c r="L6" s="453"/>
      <c r="M6" s="453"/>
      <c r="N6" s="453"/>
      <c r="O6" s="453"/>
      <c r="P6" s="175"/>
      <c r="Q6" s="175"/>
      <c r="R6" s="175"/>
      <c r="S6" s="175"/>
      <c r="T6" s="175"/>
    </row>
    <row r="7" spans="1:20" ht="13.2" customHeight="1" x14ac:dyDescent="0.25">
      <c r="A7" s="179" t="s">
        <v>794</v>
      </c>
      <c r="B7" s="1291">
        <v>30</v>
      </c>
      <c r="C7" s="1291">
        <v>30</v>
      </c>
      <c r="D7" s="176"/>
      <c r="E7" s="176"/>
      <c r="F7" s="176"/>
      <c r="G7" s="176"/>
      <c r="H7" s="176"/>
      <c r="J7" s="454"/>
      <c r="K7" s="455"/>
      <c r="L7" s="456"/>
      <c r="M7" s="456"/>
      <c r="N7" s="456"/>
      <c r="O7" s="456"/>
      <c r="P7" s="175"/>
      <c r="Q7" s="175"/>
      <c r="R7" s="175"/>
      <c r="S7" s="175"/>
      <c r="T7" s="175"/>
    </row>
    <row r="8" spans="1:20" ht="13.2" customHeight="1" x14ac:dyDescent="0.25">
      <c r="A8" s="179" t="s">
        <v>804</v>
      </c>
      <c r="B8" s="1290" t="s">
        <v>66</v>
      </c>
      <c r="C8" s="1290" t="s">
        <v>123</v>
      </c>
      <c r="D8" s="176"/>
      <c r="E8" s="176"/>
      <c r="F8" s="176"/>
      <c r="G8" s="176"/>
      <c r="H8" s="176"/>
    </row>
    <row r="9" spans="1:20" ht="13.2" customHeight="1" x14ac:dyDescent="0.25">
      <c r="A9" s="179" t="s">
        <v>795</v>
      </c>
      <c r="B9" s="1291" t="s">
        <v>436</v>
      </c>
      <c r="C9" s="1291" t="s">
        <v>436</v>
      </c>
      <c r="D9" s="176"/>
      <c r="E9" s="176"/>
      <c r="F9" s="176"/>
      <c r="G9" s="176"/>
      <c r="H9" s="176"/>
    </row>
    <row r="10" spans="1:20" ht="13.2" customHeight="1" x14ac:dyDescent="0.25">
      <c r="A10" s="179" t="s">
        <v>796</v>
      </c>
      <c r="B10" s="1291">
        <v>-1</v>
      </c>
      <c r="C10" s="1291">
        <v>2</v>
      </c>
      <c r="D10" s="176"/>
      <c r="E10" s="176"/>
      <c r="F10" s="176"/>
      <c r="G10" s="176"/>
      <c r="H10" s="176"/>
    </row>
    <row r="11" spans="1:20" ht="13.2" customHeight="1" x14ac:dyDescent="0.3">
      <c r="A11" s="179" t="s">
        <v>797</v>
      </c>
      <c r="B11" s="1291" t="s">
        <v>437</v>
      </c>
      <c r="C11" s="1291" t="s">
        <v>437</v>
      </c>
      <c r="D11" s="176"/>
      <c r="E11" s="176"/>
      <c r="F11" s="176"/>
      <c r="G11" s="176"/>
      <c r="H11" s="176"/>
      <c r="K11" s="920" t="s">
        <v>1119</v>
      </c>
      <c r="L11" s="920"/>
      <c r="M11" s="920"/>
      <c r="N11" s="920"/>
      <c r="O11" s="920"/>
    </row>
    <row r="12" spans="1:20" ht="12.75" customHeight="1" x14ac:dyDescent="0.3">
      <c r="D12" s="176"/>
      <c r="E12" s="176"/>
      <c r="F12" s="176"/>
      <c r="G12" s="176"/>
      <c r="H12" s="176"/>
      <c r="J12" s="919"/>
      <c r="K12" s="920" t="s">
        <v>140</v>
      </c>
      <c r="L12" s="919"/>
      <c r="M12" s="919"/>
      <c r="N12" s="919"/>
      <c r="O12" s="919"/>
      <c r="P12" s="915" t="s">
        <v>200</v>
      </c>
      <c r="Q12" s="919"/>
      <c r="R12" s="919"/>
      <c r="S12" s="919"/>
    </row>
    <row r="13" spans="1:20" ht="12.75" customHeight="1" x14ac:dyDescent="0.3">
      <c r="A13" s="179" t="s">
        <v>1107</v>
      </c>
      <c r="B13" s="1314" t="str">
        <f>Éqpmt!$B$6</f>
        <v>DR</v>
      </c>
      <c r="C13" s="1412" t="str">
        <f>B5</f>
        <v>24x30</v>
      </c>
      <c r="D13" s="1412" t="str">
        <f>B8</f>
        <v>Mo/Mo</v>
      </c>
      <c r="E13" s="176"/>
      <c r="F13" s="176"/>
      <c r="G13" s="176"/>
      <c r="H13" s="176"/>
      <c r="J13" s="919"/>
      <c r="K13" s="920" t="s">
        <v>141</v>
      </c>
      <c r="L13" s="921" t="s">
        <v>142</v>
      </c>
      <c r="M13" s="919"/>
      <c r="N13" s="919"/>
      <c r="O13" s="919"/>
      <c r="P13" s="917" t="s">
        <v>66</v>
      </c>
      <c r="Q13" s="919"/>
      <c r="R13" s="919"/>
      <c r="S13" s="919"/>
    </row>
    <row r="14" spans="1:20" ht="12.75" customHeight="1" x14ac:dyDescent="0.3">
      <c r="A14" s="563" t="s">
        <v>305</v>
      </c>
      <c r="B14" s="1315" t="s">
        <v>305</v>
      </c>
      <c r="C14" s="562" t="s">
        <v>806</v>
      </c>
      <c r="D14" s="192">
        <v>75</v>
      </c>
      <c r="E14" s="176"/>
      <c r="F14" s="176"/>
      <c r="G14" s="176"/>
      <c r="H14" s="176"/>
      <c r="J14" s="919"/>
      <c r="K14" s="920" t="s">
        <v>83</v>
      </c>
      <c r="L14" s="921" t="s">
        <v>143</v>
      </c>
      <c r="M14" s="919"/>
      <c r="N14" s="919"/>
      <c r="O14" s="919"/>
      <c r="P14" s="917" t="s">
        <v>123</v>
      </c>
      <c r="Q14" s="919"/>
      <c r="R14" s="919"/>
      <c r="S14" s="919"/>
    </row>
    <row r="15" spans="1:20" ht="12.75" customHeight="1" x14ac:dyDescent="0.3">
      <c r="A15" s="1288" t="s">
        <v>144</v>
      </c>
      <c r="B15" s="457" t="s">
        <v>161</v>
      </c>
      <c r="C15" s="457" t="s">
        <v>145</v>
      </c>
      <c r="D15" s="1287" t="s">
        <v>146</v>
      </c>
      <c r="E15" s="1640" t="s">
        <v>147</v>
      </c>
      <c r="F15" s="458" t="s">
        <v>148</v>
      </c>
      <c r="G15" s="1518" t="s">
        <v>15</v>
      </c>
      <c r="H15" s="1518"/>
      <c r="J15" s="919"/>
      <c r="K15" s="920"/>
      <c r="L15" s="922"/>
      <c r="M15" s="919"/>
      <c r="N15" s="919"/>
      <c r="O15" s="919"/>
      <c r="P15" s="917" t="s">
        <v>124</v>
      </c>
      <c r="Q15" s="919"/>
      <c r="R15" s="919"/>
      <c r="S15" s="919"/>
    </row>
    <row r="16" spans="1:20" ht="12.75" customHeight="1" x14ac:dyDescent="0.3">
      <c r="A16" s="459" t="s">
        <v>149</v>
      </c>
      <c r="B16" s="460" t="s">
        <v>150</v>
      </c>
      <c r="C16" s="461" t="s">
        <v>156</v>
      </c>
      <c r="D16" s="462" t="s">
        <v>157</v>
      </c>
      <c r="E16" s="1641"/>
      <c r="F16" s="463" t="s">
        <v>152</v>
      </c>
      <c r="G16" s="1286" t="s">
        <v>16</v>
      </c>
      <c r="H16" s="1286" t="s">
        <v>17</v>
      </c>
      <c r="J16" s="919"/>
      <c r="K16" s="920"/>
      <c r="L16" s="920"/>
      <c r="M16" s="919"/>
      <c r="N16" s="919"/>
      <c r="O16" s="919"/>
      <c r="P16" s="917" t="s">
        <v>202</v>
      </c>
      <c r="Q16" s="919"/>
      <c r="R16" s="919"/>
      <c r="S16" s="919"/>
    </row>
    <row r="17" spans="1:19" ht="13.2" customHeight="1" x14ac:dyDescent="0.3">
      <c r="A17" s="498">
        <v>1</v>
      </c>
      <c r="B17" s="193">
        <v>703</v>
      </c>
      <c r="C17" s="188">
        <v>11</v>
      </c>
      <c r="D17" s="464">
        <f>IF(COUNTIF($B$17:$C$25,""),"",B17/C17)</f>
        <v>63.909090909090907</v>
      </c>
      <c r="E17" s="1642">
        <f>IF(COUNTIF($B$17:$C$25,""),"",AVERAGE(D17:D19))</f>
        <v>75.090909090909079</v>
      </c>
      <c r="F17" s="46">
        <f>IF(COUNTIF($B$17:$C$25,""),"",+ABS(D17-E$17)/E$17)</f>
        <v>0.14891041162227595</v>
      </c>
      <c r="G17" s="465" t="str">
        <f t="shared" ref="G17:G25" si="0">IF(COUNTIF($B$17:$C$25,""),"",IF($B$13="DR",IF(F17&lt;=0.06,"X",""),IF(F17&lt;=0.15,"X","")))</f>
        <v/>
      </c>
      <c r="H17" s="465" t="str">
        <f t="shared" ref="H17:H25" si="1">IF(COUNTIF($B$17:$C$25,""),"",IF($B$13="DR",IF(F17&gt;0.06,"X",""),IF(F17&gt;0.15,"X","")))</f>
        <v>X</v>
      </c>
      <c r="J17" s="919"/>
      <c r="K17" s="919"/>
      <c r="L17" s="919"/>
      <c r="M17" s="919"/>
      <c r="N17" s="919"/>
      <c r="O17" s="919"/>
      <c r="P17" s="917" t="s">
        <v>203</v>
      </c>
      <c r="Q17" s="919"/>
      <c r="R17" s="919"/>
      <c r="S17" s="919"/>
    </row>
    <row r="18" spans="1:19" ht="13.2" customHeight="1" x14ac:dyDescent="0.3">
      <c r="A18" s="499">
        <v>2</v>
      </c>
      <c r="B18" s="193">
        <v>750</v>
      </c>
      <c r="C18" s="188">
        <v>10</v>
      </c>
      <c r="D18" s="464">
        <f t="shared" ref="D18:D25" si="2">IF(COUNTIF($B$17:$C$25,""),"",B18/C18)</f>
        <v>75</v>
      </c>
      <c r="E18" s="1643"/>
      <c r="F18" s="46">
        <f t="shared" ref="F18:F19" si="3">IF(COUNTIF($B$17:$C$25,""),"",+ABS(D18-E$17)/E$17)</f>
        <v>1.2106537530264798E-3</v>
      </c>
      <c r="G18" s="465" t="str">
        <f t="shared" si="0"/>
        <v>X</v>
      </c>
      <c r="H18" s="465" t="str">
        <f t="shared" si="1"/>
        <v/>
      </c>
      <c r="I18" s="173"/>
      <c r="J18" s="919"/>
      <c r="K18" s="919"/>
      <c r="L18" s="919"/>
      <c r="M18" s="919"/>
      <c r="N18" s="919"/>
      <c r="O18" s="919"/>
      <c r="P18" s="917" t="s">
        <v>204</v>
      </c>
      <c r="Q18" s="919"/>
      <c r="R18" s="919"/>
      <c r="S18" s="919"/>
    </row>
    <row r="19" spans="1:19" ht="13.2" customHeight="1" x14ac:dyDescent="0.3">
      <c r="A19" s="499">
        <v>3</v>
      </c>
      <c r="B19" s="193">
        <v>950</v>
      </c>
      <c r="C19" s="188">
        <v>11</v>
      </c>
      <c r="D19" s="464">
        <f t="shared" si="2"/>
        <v>86.36363636363636</v>
      </c>
      <c r="E19" s="1644"/>
      <c r="F19" s="46">
        <f t="shared" si="3"/>
        <v>0.15012106537530279</v>
      </c>
      <c r="G19" s="465" t="str">
        <f t="shared" si="0"/>
        <v/>
      </c>
      <c r="H19" s="465" t="str">
        <f t="shared" si="1"/>
        <v>X</v>
      </c>
      <c r="I19" s="173"/>
      <c r="J19" s="919"/>
      <c r="K19" s="919"/>
      <c r="L19" s="919"/>
      <c r="M19" s="919"/>
      <c r="N19" s="919"/>
      <c r="O19" s="919"/>
      <c r="P19" s="918" t="s">
        <v>912</v>
      </c>
      <c r="Q19" s="919"/>
      <c r="R19" s="919"/>
      <c r="S19" s="919"/>
    </row>
    <row r="20" spans="1:19" ht="13.2" customHeight="1" x14ac:dyDescent="0.3">
      <c r="A20" s="499">
        <v>4</v>
      </c>
      <c r="B20" s="195">
        <v>1300</v>
      </c>
      <c r="C20" s="188">
        <v>10</v>
      </c>
      <c r="D20" s="464">
        <f t="shared" si="2"/>
        <v>130</v>
      </c>
      <c r="E20" s="1642">
        <f t="shared" ref="E20" si="4">IF(COUNTIF($B$17:$C$25,""),"",AVERAGE(D20:D22))</f>
        <v>117.77777777777777</v>
      </c>
      <c r="F20" s="46">
        <f>IF(COUNTIF($B$17:$C$25,""),"",+ABS(D20-E$20)/E$20)</f>
        <v>0.10377358490566044</v>
      </c>
      <c r="G20" s="465" t="str">
        <f t="shared" si="0"/>
        <v/>
      </c>
      <c r="H20" s="465" t="str">
        <f t="shared" si="1"/>
        <v>X</v>
      </c>
      <c r="I20" s="1078"/>
      <c r="J20" s="919"/>
      <c r="K20" s="919"/>
      <c r="L20" s="919"/>
      <c r="M20" s="919"/>
      <c r="N20" s="919"/>
      <c r="O20" s="919"/>
      <c r="P20" s="919"/>
      <c r="Q20" s="919"/>
      <c r="R20" s="919"/>
      <c r="S20" s="919"/>
    </row>
    <row r="21" spans="1:19" ht="13.2" customHeight="1" x14ac:dyDescent="0.3">
      <c r="A21" s="1318">
        <v>5</v>
      </c>
      <c r="B21" s="196">
        <v>1400</v>
      </c>
      <c r="C21" s="188">
        <v>15</v>
      </c>
      <c r="D21" s="464">
        <f t="shared" si="2"/>
        <v>93.333333333333329</v>
      </c>
      <c r="E21" s="1643"/>
      <c r="F21" s="46">
        <f t="shared" ref="F21" si="5">IF(COUNTIF($B$17:$C$25,""),"",+ABS(D21-E$20)/E$20)</f>
        <v>0.20754716981132076</v>
      </c>
      <c r="G21" s="465" t="str">
        <f t="shared" si="0"/>
        <v/>
      </c>
      <c r="H21" s="465" t="str">
        <f t="shared" si="1"/>
        <v>X</v>
      </c>
      <c r="I21" s="1078"/>
      <c r="J21" s="920" t="s">
        <v>153</v>
      </c>
      <c r="K21" s="920"/>
      <c r="L21" s="920"/>
      <c r="M21" s="920"/>
      <c r="N21" s="920"/>
      <c r="O21" s="920"/>
      <c r="P21" s="920"/>
      <c r="Q21" s="920"/>
      <c r="R21" s="919"/>
      <c r="S21" s="919"/>
    </row>
    <row r="22" spans="1:19" ht="13.2" customHeight="1" x14ac:dyDescent="0.3">
      <c r="A22" s="499">
        <v>6</v>
      </c>
      <c r="B22" s="196">
        <v>1300</v>
      </c>
      <c r="C22" s="188">
        <v>10</v>
      </c>
      <c r="D22" s="464">
        <f t="shared" si="2"/>
        <v>130</v>
      </c>
      <c r="E22" s="1644"/>
      <c r="F22" s="46">
        <f>IF(COUNTIF($B$17:$C$25,""),"",+ABS(D22-E$20)/E$20)</f>
        <v>0.10377358490566044</v>
      </c>
      <c r="G22" s="465" t="str">
        <f t="shared" si="0"/>
        <v/>
      </c>
      <c r="H22" s="465" t="str">
        <f t="shared" si="1"/>
        <v>X</v>
      </c>
      <c r="I22" s="1078"/>
      <c r="J22" s="919"/>
      <c r="K22" s="919"/>
      <c r="L22" s="919"/>
      <c r="M22" s="919"/>
      <c r="N22" s="919"/>
      <c r="O22" s="919"/>
      <c r="P22" s="919"/>
      <c r="Q22" s="919"/>
      <c r="R22" s="919"/>
      <c r="S22" s="919"/>
    </row>
    <row r="23" spans="1:19" ht="13.2" customHeight="1" x14ac:dyDescent="0.3">
      <c r="A23" s="1318">
        <v>7</v>
      </c>
      <c r="B23" s="196">
        <v>900</v>
      </c>
      <c r="C23" s="188">
        <v>10</v>
      </c>
      <c r="D23" s="464">
        <f t="shared" si="2"/>
        <v>90</v>
      </c>
      <c r="E23" s="1642">
        <f t="shared" ref="E23" si="6">IF(COUNTIF($B$17:$C$25,""),"",AVERAGE(D23:D25))</f>
        <v>114.24242424242425</v>
      </c>
      <c r="F23" s="46">
        <f>IF(COUNTIF($B$17:$C$25,""),"",+ABS(D23-E$23)/E$23)</f>
        <v>0.21220159151193638</v>
      </c>
      <c r="G23" s="465" t="str">
        <f t="shared" si="0"/>
        <v/>
      </c>
      <c r="H23" s="465" t="str">
        <f t="shared" si="1"/>
        <v>X</v>
      </c>
      <c r="I23" s="1078"/>
      <c r="J23" s="919"/>
      <c r="K23" s="919"/>
      <c r="L23" s="919"/>
      <c r="M23" s="919"/>
      <c r="N23" s="919"/>
      <c r="O23" s="919"/>
      <c r="P23" s="919"/>
      <c r="Q23" s="919"/>
      <c r="R23" s="919"/>
      <c r="S23" s="919"/>
    </row>
    <row r="24" spans="1:19" ht="13.2" customHeight="1" x14ac:dyDescent="0.3">
      <c r="A24" s="1319">
        <v>8</v>
      </c>
      <c r="B24" s="196">
        <v>1350</v>
      </c>
      <c r="C24" s="188">
        <v>11</v>
      </c>
      <c r="D24" s="464">
        <f t="shared" si="2"/>
        <v>122.72727272727273</v>
      </c>
      <c r="E24" s="1643"/>
      <c r="F24" s="46">
        <f t="shared" ref="F24:F25" si="7">IF(COUNTIF($B$17:$C$25,""),"",+ABS(D24-E$23)/E$23)</f>
        <v>7.4270557029177717E-2</v>
      </c>
      <c r="G24" s="465" t="str">
        <f t="shared" si="0"/>
        <v/>
      </c>
      <c r="H24" s="465" t="str">
        <f t="shared" si="1"/>
        <v>X</v>
      </c>
      <c r="I24" s="1078"/>
      <c r="J24" s="919"/>
      <c r="K24" s="919"/>
      <c r="L24" s="919"/>
      <c r="M24" s="919"/>
      <c r="N24" s="919"/>
      <c r="O24" s="919"/>
      <c r="P24" s="919"/>
      <c r="Q24" s="919"/>
      <c r="R24" s="919"/>
      <c r="S24" s="919"/>
    </row>
    <row r="25" spans="1:19" ht="13.2" customHeight="1" x14ac:dyDescent="0.3">
      <c r="A25" s="166">
        <v>9</v>
      </c>
      <c r="B25" s="196">
        <v>1300</v>
      </c>
      <c r="C25" s="188">
        <v>10</v>
      </c>
      <c r="D25" s="464">
        <f t="shared" si="2"/>
        <v>130</v>
      </c>
      <c r="E25" s="1644"/>
      <c r="F25" s="46">
        <f t="shared" si="7"/>
        <v>0.13793103448275856</v>
      </c>
      <c r="G25" s="465" t="str">
        <f t="shared" si="0"/>
        <v/>
      </c>
      <c r="H25" s="465" t="str">
        <f t="shared" si="1"/>
        <v>X</v>
      </c>
      <c r="I25" s="1078"/>
      <c r="J25" s="919"/>
      <c r="K25" s="919"/>
      <c r="L25" s="919"/>
      <c r="M25" s="919"/>
      <c r="N25" s="919"/>
      <c r="O25" s="919"/>
      <c r="P25" s="919"/>
      <c r="Q25" s="919"/>
      <c r="R25" s="919"/>
      <c r="S25" s="919"/>
    </row>
    <row r="26" spans="1:19" ht="14.4" x14ac:dyDescent="0.3">
      <c r="A26" s="176"/>
      <c r="B26" s="176"/>
      <c r="C26" s="176"/>
      <c r="D26" s="176"/>
      <c r="E26" s="176"/>
      <c r="F26" s="176"/>
      <c r="G26" s="176"/>
      <c r="H26" s="176"/>
      <c r="I26" s="1078"/>
      <c r="J26" s="919"/>
      <c r="K26" s="919"/>
      <c r="L26" s="919"/>
      <c r="M26" s="919"/>
      <c r="N26" s="919"/>
      <c r="O26" s="919"/>
      <c r="P26" s="919"/>
      <c r="Q26" s="919"/>
      <c r="R26" s="919"/>
      <c r="S26" s="919"/>
    </row>
    <row r="27" spans="1:19" ht="14.4" x14ac:dyDescent="0.3">
      <c r="A27" s="179" t="s">
        <v>1072</v>
      </c>
      <c r="B27" s="1314" t="str">
        <f>Éqpmt!$B$6</f>
        <v>DR</v>
      </c>
      <c r="C27" s="1412" t="str">
        <f>C5</f>
        <v>24x30</v>
      </c>
      <c r="D27" s="1412" t="str">
        <f>C8</f>
        <v>Mo/Rh</v>
      </c>
      <c r="E27" s="179"/>
      <c r="F27" s="173"/>
      <c r="G27" s="173"/>
      <c r="H27" s="173"/>
      <c r="I27" s="1078"/>
      <c r="J27" s="919"/>
      <c r="K27" s="919"/>
      <c r="L27" s="919"/>
      <c r="M27" s="919"/>
      <c r="N27" s="919"/>
      <c r="O27" s="919"/>
      <c r="P27" s="919"/>
      <c r="Q27" s="919"/>
      <c r="R27" s="919"/>
      <c r="S27" s="919"/>
    </row>
    <row r="28" spans="1:19" ht="14.4" x14ac:dyDescent="0.3">
      <c r="A28" s="563"/>
      <c r="B28" s="1316"/>
      <c r="C28" s="562" t="s">
        <v>585</v>
      </c>
      <c r="D28" s="192">
        <v>65</v>
      </c>
      <c r="E28" s="176"/>
      <c r="F28" s="176"/>
      <c r="G28" s="176"/>
      <c r="H28" s="176"/>
      <c r="I28" s="173"/>
      <c r="J28" s="919"/>
      <c r="K28" s="919"/>
      <c r="L28" s="919"/>
      <c r="M28" s="919"/>
      <c r="N28" s="919"/>
      <c r="O28" s="919"/>
      <c r="P28" s="919"/>
      <c r="Q28" s="919"/>
      <c r="R28" s="919"/>
      <c r="S28" s="919"/>
    </row>
    <row r="29" spans="1:19" ht="14.4" x14ac:dyDescent="0.3">
      <c r="A29" s="1288" t="s">
        <v>144</v>
      </c>
      <c r="B29" s="457" t="s">
        <v>161</v>
      </c>
      <c r="C29" s="457" t="s">
        <v>145</v>
      </c>
      <c r="D29" s="1287" t="s">
        <v>146</v>
      </c>
      <c r="E29" s="1640" t="s">
        <v>147</v>
      </c>
      <c r="F29" s="458" t="s">
        <v>148</v>
      </c>
      <c r="G29" s="1518" t="s">
        <v>15</v>
      </c>
      <c r="H29" s="1518"/>
      <c r="I29" s="173"/>
      <c r="J29" s="919"/>
      <c r="K29" s="919"/>
      <c r="L29" s="919"/>
      <c r="M29" s="919"/>
      <c r="N29" s="919"/>
      <c r="O29" s="919"/>
      <c r="P29" s="919"/>
      <c r="Q29" s="919"/>
      <c r="R29" s="919"/>
      <c r="S29" s="919"/>
    </row>
    <row r="30" spans="1:19" ht="12.75" customHeight="1" x14ac:dyDescent="0.3">
      <c r="A30" s="459" t="s">
        <v>149</v>
      </c>
      <c r="B30" s="460" t="s">
        <v>150</v>
      </c>
      <c r="C30" s="461" t="s">
        <v>156</v>
      </c>
      <c r="D30" s="462" t="s">
        <v>157</v>
      </c>
      <c r="E30" s="1641"/>
      <c r="F30" s="463" t="s">
        <v>152</v>
      </c>
      <c r="G30" s="1286" t="s">
        <v>16</v>
      </c>
      <c r="H30" s="1286" t="s">
        <v>17</v>
      </c>
      <c r="I30" s="173"/>
      <c r="J30" s="919"/>
      <c r="K30" s="919"/>
      <c r="L30" s="919"/>
      <c r="M30" s="919"/>
      <c r="N30" s="919"/>
      <c r="O30" s="919"/>
      <c r="P30" s="919"/>
      <c r="Q30" s="919"/>
      <c r="R30" s="919"/>
      <c r="S30" s="919"/>
    </row>
    <row r="31" spans="1:19" ht="12" customHeight="1" x14ac:dyDescent="0.3">
      <c r="A31" s="498">
        <v>1</v>
      </c>
      <c r="B31" s="193">
        <v>702</v>
      </c>
      <c r="C31" s="194">
        <v>10</v>
      </c>
      <c r="D31" s="464">
        <f>IF(COUNTIF($B$31:$C$39,""),"",B31/C31)</f>
        <v>70.2</v>
      </c>
      <c r="E31" s="1642">
        <f>IF(COUNTIF($B$31:$C$39,""),"",AVERAGE(D31:D33))</f>
        <v>77.209523809523816</v>
      </c>
      <c r="F31" s="46">
        <f>IF(COUNTIF($B$31:$C$39,""),"",+ABS(D31-E$31)/E$31)</f>
        <v>9.0785740717898147E-2</v>
      </c>
      <c r="G31" s="465" t="str">
        <f t="shared" ref="G31:G39" si="8">IF(COUNTIF($B$31:$C$39,""),"",IF($B$13="DR",IF(F31&lt;=0.06,"X",""),IF(F31&lt;=0.15,"X","")))</f>
        <v/>
      </c>
      <c r="H31" s="465" t="str">
        <f t="shared" ref="H31:H39" si="9">IF(COUNTIF($B$31:$C$39,""),"",IF($B$13="DR",IF(F31&gt;0.06,"X",""),IF(F31&gt;0.15,"X","")))</f>
        <v>X</v>
      </c>
      <c r="I31" s="173"/>
      <c r="J31" s="919"/>
      <c r="K31" s="919"/>
      <c r="L31" s="919"/>
      <c r="M31" s="919"/>
      <c r="N31" s="919"/>
      <c r="O31" s="919"/>
      <c r="P31" s="919"/>
      <c r="Q31" s="919"/>
      <c r="R31" s="919"/>
      <c r="S31" s="919"/>
    </row>
    <row r="32" spans="1:19" ht="12" customHeight="1" x14ac:dyDescent="0.3">
      <c r="A32" s="499">
        <v>2</v>
      </c>
      <c r="B32" s="193">
        <v>750</v>
      </c>
      <c r="C32" s="194">
        <v>10.5</v>
      </c>
      <c r="D32" s="464">
        <f t="shared" ref="D32:D39" si="10">IF(COUNTIF($B$31:$C$39,""),"",B32/C32)</f>
        <v>71.428571428571431</v>
      </c>
      <c r="E32" s="1643"/>
      <c r="F32" s="46">
        <f t="shared" ref="F32:F33" si="11">IF(COUNTIF($B$31:$C$39,""),"",+ABS(D32-E$31)/E$31)</f>
        <v>7.4873566054027438E-2</v>
      </c>
      <c r="G32" s="465" t="str">
        <f t="shared" si="8"/>
        <v/>
      </c>
      <c r="H32" s="465" t="str">
        <f t="shared" si="9"/>
        <v>X</v>
      </c>
      <c r="I32" s="173"/>
      <c r="J32" s="919"/>
      <c r="K32" s="919"/>
      <c r="L32" s="919"/>
      <c r="M32" s="919"/>
      <c r="N32" s="919"/>
      <c r="O32" s="919"/>
      <c r="P32" s="919"/>
      <c r="Q32" s="919"/>
      <c r="R32" s="919"/>
      <c r="S32" s="919"/>
    </row>
    <row r="33" spans="1:19" ht="12" customHeight="1" x14ac:dyDescent="0.3">
      <c r="A33" s="499">
        <v>3</v>
      </c>
      <c r="B33" s="193">
        <v>900</v>
      </c>
      <c r="C33" s="194">
        <v>10</v>
      </c>
      <c r="D33" s="464">
        <f t="shared" si="10"/>
        <v>90</v>
      </c>
      <c r="E33" s="1644"/>
      <c r="F33" s="46">
        <f t="shared" si="11"/>
        <v>0.16565930677192539</v>
      </c>
      <c r="G33" s="465" t="str">
        <f t="shared" si="8"/>
        <v/>
      </c>
      <c r="H33" s="465" t="str">
        <f t="shared" si="9"/>
        <v>X</v>
      </c>
      <c r="I33" s="173"/>
      <c r="J33" s="919"/>
      <c r="K33" s="919"/>
      <c r="L33" s="919"/>
      <c r="M33" s="919"/>
      <c r="N33" s="919"/>
      <c r="O33" s="919"/>
      <c r="P33" s="919"/>
      <c r="Q33" s="919"/>
      <c r="R33" s="919"/>
      <c r="S33" s="919"/>
    </row>
    <row r="34" spans="1:19" ht="12" customHeight="1" x14ac:dyDescent="0.3">
      <c r="A34" s="499">
        <v>4</v>
      </c>
      <c r="B34" s="195">
        <v>1300</v>
      </c>
      <c r="C34" s="194">
        <v>10.1</v>
      </c>
      <c r="D34" s="464">
        <f t="shared" si="10"/>
        <v>128.71287128712871</v>
      </c>
      <c r="E34" s="1642">
        <f>IF(COUNTIF($B$31:$C$39,""),"",AVERAGE(D34:D36))</f>
        <v>122.48004800480048</v>
      </c>
      <c r="F34" s="46">
        <f>IF(COUNTIF($B$31:$C$39,""),"",+ABS(D34-E$34)/E$34)</f>
        <v>5.088847844086359E-2</v>
      </c>
      <c r="G34" s="465" t="str">
        <f t="shared" si="8"/>
        <v>X</v>
      </c>
      <c r="H34" s="465" t="str">
        <f t="shared" si="9"/>
        <v/>
      </c>
      <c r="I34" s="173"/>
      <c r="J34" s="919"/>
      <c r="K34" s="919"/>
      <c r="L34" s="919"/>
      <c r="M34" s="919"/>
      <c r="N34" s="919"/>
      <c r="O34" s="919"/>
      <c r="P34" s="919"/>
      <c r="Q34" s="919"/>
      <c r="R34" s="919"/>
      <c r="S34" s="919"/>
    </row>
    <row r="35" spans="1:19" ht="12" customHeight="1" x14ac:dyDescent="0.3">
      <c r="A35" s="1318">
        <v>5</v>
      </c>
      <c r="B35" s="196">
        <v>1325</v>
      </c>
      <c r="C35" s="194">
        <v>11</v>
      </c>
      <c r="D35" s="464">
        <f t="shared" si="10"/>
        <v>120.45454545454545</v>
      </c>
      <c r="E35" s="1643"/>
      <c r="F35" s="46">
        <f t="shared" ref="F35:F36" si="12">IF(COUNTIF($B$31:$C$39,""),"",+ABS(D35-E$34)/E$34)</f>
        <v>1.6537408200359614E-2</v>
      </c>
      <c r="G35" s="465" t="str">
        <f t="shared" si="8"/>
        <v>X</v>
      </c>
      <c r="H35" s="465" t="str">
        <f t="shared" si="9"/>
        <v/>
      </c>
      <c r="I35" s="173"/>
      <c r="J35" s="919"/>
      <c r="K35" s="919"/>
      <c r="L35" s="919"/>
      <c r="M35" s="919"/>
      <c r="N35" s="919"/>
      <c r="O35" s="919"/>
      <c r="P35" s="919"/>
      <c r="Q35" s="919"/>
      <c r="R35" s="919"/>
      <c r="S35" s="919"/>
    </row>
    <row r="36" spans="1:19" ht="12" customHeight="1" x14ac:dyDescent="0.3">
      <c r="A36" s="499">
        <v>6</v>
      </c>
      <c r="B36" s="196">
        <v>1301</v>
      </c>
      <c r="C36" s="194">
        <v>11</v>
      </c>
      <c r="D36" s="464">
        <f t="shared" si="10"/>
        <v>118.27272727272727</v>
      </c>
      <c r="E36" s="1644"/>
      <c r="F36" s="46">
        <f t="shared" si="12"/>
        <v>3.4351070240504086E-2</v>
      </c>
      <c r="G36" s="465" t="str">
        <f t="shared" si="8"/>
        <v>X</v>
      </c>
      <c r="H36" s="465" t="str">
        <f t="shared" si="9"/>
        <v/>
      </c>
      <c r="I36" s="173"/>
      <c r="J36" s="919"/>
      <c r="K36" s="919"/>
      <c r="L36" s="923"/>
      <c r="M36" s="919"/>
      <c r="N36" s="919"/>
      <c r="O36" s="919"/>
      <c r="P36" s="919"/>
      <c r="Q36" s="919"/>
      <c r="R36" s="919"/>
      <c r="S36" s="919"/>
    </row>
    <row r="37" spans="1:19" ht="12" customHeight="1" x14ac:dyDescent="0.3">
      <c r="A37" s="1318">
        <v>7</v>
      </c>
      <c r="B37" s="196">
        <v>1300</v>
      </c>
      <c r="C37" s="194">
        <v>10</v>
      </c>
      <c r="D37" s="464">
        <f t="shared" si="10"/>
        <v>130</v>
      </c>
      <c r="E37" s="1642">
        <f>IF(COUNTIF($B$31:$C$39,""),"",AVERAGE(D37:D39))</f>
        <v>127.93650793650794</v>
      </c>
      <c r="F37" s="46">
        <f>IF(COUNTIF($B$31:$C$39,""),"",+ABS(D37-E$37)/E$37)</f>
        <v>1.6129032258064516E-2</v>
      </c>
      <c r="G37" s="465" t="str">
        <f t="shared" si="8"/>
        <v>X</v>
      </c>
      <c r="H37" s="465" t="str">
        <f t="shared" si="9"/>
        <v/>
      </c>
      <c r="I37" s="173"/>
      <c r="J37" s="919"/>
      <c r="K37" s="919"/>
      <c r="L37" s="923"/>
      <c r="M37" s="919"/>
      <c r="N37" s="919"/>
      <c r="O37" s="919"/>
      <c r="P37" s="919"/>
      <c r="Q37" s="919"/>
      <c r="R37" s="919"/>
      <c r="S37" s="919"/>
    </row>
    <row r="38" spans="1:19" ht="12" customHeight="1" x14ac:dyDescent="0.3">
      <c r="A38" s="1319">
        <v>8</v>
      </c>
      <c r="B38" s="196">
        <v>1300</v>
      </c>
      <c r="C38" s="194">
        <v>10</v>
      </c>
      <c r="D38" s="464">
        <f t="shared" si="10"/>
        <v>130</v>
      </c>
      <c r="E38" s="1643"/>
      <c r="F38" s="46">
        <f t="shared" ref="F38:F39" si="13">IF(COUNTIF($B$31:$C$39,""),"",+ABS(D38-E$37)/E$37)</f>
        <v>1.6129032258064516E-2</v>
      </c>
      <c r="G38" s="465" t="str">
        <f t="shared" si="8"/>
        <v>X</v>
      </c>
      <c r="H38" s="465" t="str">
        <f t="shared" si="9"/>
        <v/>
      </c>
      <c r="I38" s="1078"/>
      <c r="J38" s="919"/>
      <c r="K38" s="919"/>
      <c r="L38" s="923"/>
      <c r="M38" s="919"/>
      <c r="N38" s="919"/>
      <c r="O38" s="919"/>
      <c r="P38" s="919"/>
      <c r="Q38" s="919"/>
      <c r="R38" s="919"/>
      <c r="S38" s="919"/>
    </row>
    <row r="39" spans="1:19" ht="12" customHeight="1" x14ac:dyDescent="0.3">
      <c r="A39" s="166">
        <v>9</v>
      </c>
      <c r="B39" s="196">
        <v>1300</v>
      </c>
      <c r="C39" s="194">
        <v>10.5</v>
      </c>
      <c r="D39" s="464">
        <f t="shared" si="10"/>
        <v>123.80952380952381</v>
      </c>
      <c r="E39" s="1644"/>
      <c r="F39" s="46">
        <f t="shared" si="13"/>
        <v>3.2258064516129031E-2</v>
      </c>
      <c r="G39" s="465" t="str">
        <f t="shared" si="8"/>
        <v>X</v>
      </c>
      <c r="H39" s="465" t="str">
        <f t="shared" si="9"/>
        <v/>
      </c>
      <c r="I39" s="1078"/>
      <c r="J39" s="919"/>
      <c r="K39" s="919"/>
      <c r="L39" s="923"/>
      <c r="M39" s="919"/>
      <c r="N39" s="919"/>
      <c r="O39" s="919"/>
      <c r="P39" s="919"/>
      <c r="Q39" s="919"/>
      <c r="R39" s="919"/>
      <c r="S39" s="919"/>
    </row>
    <row r="40" spans="1:19" ht="12.75" customHeight="1" x14ac:dyDescent="0.3">
      <c r="A40" s="1413" t="s">
        <v>807</v>
      </c>
      <c r="B40" s="474" t="s">
        <v>1091</v>
      </c>
      <c r="C40" s="1078"/>
      <c r="D40" s="1078"/>
      <c r="E40" s="1078"/>
      <c r="F40" s="1078"/>
      <c r="G40" s="1078"/>
      <c r="H40" s="1078"/>
      <c r="I40" s="1078"/>
      <c r="J40" s="919"/>
      <c r="K40" s="919"/>
      <c r="L40" s="923"/>
      <c r="M40" s="919"/>
      <c r="N40" s="919"/>
      <c r="O40" s="919"/>
      <c r="P40" s="919"/>
      <c r="Q40" s="919"/>
      <c r="R40" s="919"/>
      <c r="S40" s="919"/>
    </row>
    <row r="41" spans="1:19" ht="12.75" customHeight="1" x14ac:dyDescent="0.3">
      <c r="B41" s="475"/>
      <c r="C41" s="475"/>
      <c r="D41" s="475"/>
      <c r="E41" s="475"/>
      <c r="F41" s="475"/>
      <c r="G41" s="475"/>
      <c r="H41" s="475"/>
      <c r="I41" s="1078"/>
      <c r="J41" s="919"/>
      <c r="K41" s="919"/>
      <c r="L41" s="923"/>
      <c r="M41" s="919"/>
      <c r="N41" s="919"/>
      <c r="O41" s="919"/>
      <c r="P41" s="919"/>
      <c r="Q41" s="919"/>
      <c r="R41" s="919"/>
      <c r="S41" s="919"/>
    </row>
    <row r="42" spans="1:19" ht="12" customHeight="1" x14ac:dyDescent="0.3">
      <c r="B42" s="176"/>
      <c r="C42" s="476"/>
      <c r="D42" s="477"/>
      <c r="E42" s="478"/>
      <c r="F42" s="176"/>
      <c r="G42" s="176"/>
      <c r="H42" s="176"/>
      <c r="I42" s="1078"/>
      <c r="J42" s="919"/>
      <c r="K42" s="919"/>
      <c r="L42" s="923"/>
      <c r="M42" s="919"/>
      <c r="N42" s="919"/>
      <c r="O42" s="919"/>
      <c r="P42" s="919"/>
      <c r="Q42" s="919"/>
      <c r="R42" s="919"/>
      <c r="S42" s="919"/>
    </row>
    <row r="43" spans="1:19" ht="14.1" customHeight="1" x14ac:dyDescent="0.3">
      <c r="A43" s="177" t="s">
        <v>808</v>
      </c>
      <c r="D43" s="176"/>
      <c r="E43" s="176"/>
      <c r="F43" s="176"/>
      <c r="G43" s="176"/>
      <c r="H43" s="176"/>
      <c r="I43" s="1078"/>
      <c r="J43" s="919"/>
      <c r="K43" s="919"/>
      <c r="L43" s="923"/>
      <c r="M43" s="919"/>
      <c r="N43" s="919"/>
      <c r="O43" s="919"/>
      <c r="P43" s="919"/>
      <c r="Q43" s="919"/>
      <c r="R43" s="919"/>
      <c r="S43" s="919"/>
    </row>
    <row r="44" spans="1:19" ht="15" customHeight="1" x14ac:dyDescent="0.3">
      <c r="A44" s="179" t="s">
        <v>793</v>
      </c>
      <c r="B44" s="1645">
        <v>45</v>
      </c>
      <c r="C44" s="1645"/>
      <c r="E44" s="179" t="s">
        <v>795</v>
      </c>
      <c r="F44" s="1639" t="s">
        <v>436</v>
      </c>
      <c r="G44" s="1639"/>
      <c r="H44" s="176"/>
      <c r="I44" s="1078"/>
      <c r="J44" s="919"/>
      <c r="K44" s="919"/>
      <c r="L44" s="919"/>
      <c r="M44" s="919"/>
      <c r="N44" s="919"/>
      <c r="O44" s="919"/>
      <c r="P44" s="919"/>
      <c r="Q44" s="919"/>
      <c r="R44" s="919"/>
      <c r="S44" s="919"/>
    </row>
    <row r="45" spans="1:19" ht="14.4" x14ac:dyDescent="0.3">
      <c r="A45" s="179" t="s">
        <v>794</v>
      </c>
      <c r="B45" s="1638">
        <v>30</v>
      </c>
      <c r="C45" s="1638"/>
      <c r="E45" s="179" t="s">
        <v>796</v>
      </c>
      <c r="F45" s="1639">
        <v>0</v>
      </c>
      <c r="G45" s="1639"/>
      <c r="H45" s="176"/>
      <c r="I45" s="1078"/>
      <c r="J45" s="919"/>
      <c r="K45" s="919"/>
      <c r="L45" s="919"/>
      <c r="M45" s="919"/>
      <c r="N45" s="919"/>
      <c r="O45" s="919"/>
      <c r="P45" s="919"/>
      <c r="Q45" s="919"/>
      <c r="R45" s="919"/>
      <c r="S45" s="919"/>
    </row>
    <row r="46" spans="1:19" x14ac:dyDescent="0.25">
      <c r="A46" s="179" t="s">
        <v>804</v>
      </c>
      <c r="B46" s="1649" t="s">
        <v>66</v>
      </c>
      <c r="C46" s="1649"/>
      <c r="E46" s="179" t="s">
        <v>797</v>
      </c>
      <c r="F46" s="1639" t="s">
        <v>503</v>
      </c>
      <c r="G46" s="1639"/>
      <c r="H46" s="176"/>
      <c r="I46" s="173"/>
    </row>
    <row r="47" spans="1:19" x14ac:dyDescent="0.25">
      <c r="A47" s="179" t="s">
        <v>1072</v>
      </c>
      <c r="B47" s="1314" t="str">
        <f>Éqpmt!$B$6</f>
        <v>DR</v>
      </c>
      <c r="C47" s="191" t="s">
        <v>142</v>
      </c>
      <c r="D47" s="176"/>
      <c r="E47" s="179"/>
      <c r="F47" s="176"/>
      <c r="G47" s="176"/>
      <c r="H47" s="176"/>
      <c r="I47" s="479"/>
    </row>
    <row r="48" spans="1:19" x14ac:dyDescent="0.25">
      <c r="A48" s="563"/>
      <c r="B48" s="1316"/>
      <c r="C48" s="562" t="s">
        <v>585</v>
      </c>
      <c r="D48" s="192">
        <v>79</v>
      </c>
      <c r="E48" s="176"/>
      <c r="F48" s="176"/>
      <c r="G48" s="176"/>
      <c r="H48" s="176"/>
      <c r="I48" s="479"/>
    </row>
    <row r="49" spans="1:18" s="483" customFormat="1" ht="12" x14ac:dyDescent="0.2">
      <c r="A49" s="480" t="s">
        <v>144</v>
      </c>
      <c r="B49" s="1650" t="s">
        <v>398</v>
      </c>
      <c r="C49" s="1288" t="s">
        <v>161</v>
      </c>
      <c r="D49" s="1287" t="s">
        <v>145</v>
      </c>
      <c r="E49" s="481" t="s">
        <v>146</v>
      </c>
      <c r="F49" s="481" t="s">
        <v>155</v>
      </c>
      <c r="G49" s="1518" t="s">
        <v>15</v>
      </c>
      <c r="H49" s="1518"/>
      <c r="I49" s="482"/>
    </row>
    <row r="50" spans="1:18" s="483" customFormat="1" ht="14.4" x14ac:dyDescent="0.3">
      <c r="A50" s="484" t="s">
        <v>149</v>
      </c>
      <c r="B50" s="1651"/>
      <c r="C50" s="485" t="s">
        <v>150</v>
      </c>
      <c r="D50" s="462" t="s">
        <v>156</v>
      </c>
      <c r="E50" s="1289" t="s">
        <v>157</v>
      </c>
      <c r="F50" s="1289" t="s">
        <v>158</v>
      </c>
      <c r="G50" s="1286" t="s">
        <v>16</v>
      </c>
      <c r="H50" s="1286" t="s">
        <v>17</v>
      </c>
      <c r="I50" s="482"/>
      <c r="J50" s="919"/>
      <c r="K50" s="919"/>
      <c r="L50" s="919"/>
      <c r="M50" s="919"/>
      <c r="N50" s="919"/>
      <c r="O50" s="919"/>
      <c r="P50" s="919"/>
      <c r="Q50" s="919"/>
      <c r="R50" s="919"/>
    </row>
    <row r="51" spans="1:18" ht="13.2" customHeight="1" x14ac:dyDescent="0.3">
      <c r="A51" s="486" t="s">
        <v>399</v>
      </c>
      <c r="B51" s="1317" t="str">
        <f>Info!F37</f>
        <v>20-07-2019</v>
      </c>
      <c r="C51" s="187">
        <v>1310</v>
      </c>
      <c r="D51" s="188">
        <v>11</v>
      </c>
      <c r="E51" s="860">
        <f>IF(COUNTIF(C51:D51,""),"",C51/D51)</f>
        <v>119.09090909090909</v>
      </c>
      <c r="F51" s="487"/>
      <c r="G51" s="1646"/>
      <c r="H51" s="1647"/>
      <c r="I51" s="482"/>
      <c r="J51" s="919"/>
      <c r="K51" s="920" t="s">
        <v>1153</v>
      </c>
      <c r="L51" s="920"/>
      <c r="M51" s="920"/>
      <c r="N51" s="920"/>
      <c r="O51" s="920"/>
      <c r="P51" s="920"/>
      <c r="Q51" s="920"/>
      <c r="R51" s="919"/>
    </row>
    <row r="52" spans="1:18" ht="13.2" customHeight="1" x14ac:dyDescent="0.3">
      <c r="A52" s="486" t="s">
        <v>399</v>
      </c>
      <c r="B52" s="1317" t="str">
        <f>Info!C37</f>
        <v>20-01-2020</v>
      </c>
      <c r="C52" s="189">
        <v>1200</v>
      </c>
      <c r="D52" s="190">
        <v>11</v>
      </c>
      <c r="E52" s="488">
        <f>IF(COUNTIF(C52:D52,""),"",+C52/D52)</f>
        <v>109.09090909090909</v>
      </c>
      <c r="F52" s="874">
        <f>IF(COUNTIF(C51:D52,""),"",+ABS((E52-E51)/E51))</f>
        <v>8.3969465648854963E-2</v>
      </c>
      <c r="G52" s="489" t="str">
        <f>IF(COUNTIF(C51:D52,""),"",IF(F52&lt;=30%,"X",""))</f>
        <v>X</v>
      </c>
      <c r="H52" s="489" t="str">
        <f>IF(COUNTIF(C51:D52,""),"",IF(F52&gt;30%,"X",""))</f>
        <v/>
      </c>
      <c r="I52" s="482"/>
      <c r="J52" s="919"/>
      <c r="K52" s="920" t="s">
        <v>549</v>
      </c>
      <c r="L52" s="920"/>
      <c r="M52" s="920"/>
      <c r="N52" s="920"/>
      <c r="O52" s="920"/>
      <c r="P52" s="920"/>
      <c r="Q52" s="920"/>
      <c r="R52" s="919"/>
    </row>
    <row r="53" spans="1:18" ht="13.2" customHeight="1" x14ac:dyDescent="0.3">
      <c r="A53" s="486" t="s">
        <v>399</v>
      </c>
      <c r="B53" s="186" t="s">
        <v>400</v>
      </c>
      <c r="C53" s="183"/>
      <c r="D53" s="184"/>
      <c r="E53" s="608"/>
      <c r="F53" s="875"/>
      <c r="G53" s="609"/>
      <c r="H53" s="609"/>
      <c r="I53" s="482"/>
      <c r="J53" s="919"/>
      <c r="K53" s="920" t="s">
        <v>1076</v>
      </c>
      <c r="L53" s="920"/>
      <c r="M53" s="920"/>
      <c r="N53" s="920"/>
      <c r="O53" s="920"/>
      <c r="P53" s="920"/>
      <c r="Q53" s="920"/>
      <c r="R53" s="919"/>
    </row>
    <row r="54" spans="1:18" ht="13.2" customHeight="1" x14ac:dyDescent="0.3">
      <c r="A54" s="486" t="s">
        <v>399</v>
      </c>
      <c r="B54" s="186" t="s">
        <v>400</v>
      </c>
      <c r="C54" s="183"/>
      <c r="D54" s="184"/>
      <c r="E54" s="184"/>
      <c r="F54" s="876"/>
      <c r="G54" s="185"/>
      <c r="H54" s="185"/>
      <c r="I54" s="482"/>
      <c r="J54" s="919"/>
      <c r="K54" s="920" t="s">
        <v>551</v>
      </c>
      <c r="L54" s="920"/>
      <c r="M54" s="920"/>
      <c r="N54" s="920"/>
      <c r="O54" s="920"/>
      <c r="P54" s="920"/>
      <c r="Q54" s="920"/>
      <c r="R54" s="919"/>
    </row>
    <row r="55" spans="1:18" ht="11.1" customHeight="1" x14ac:dyDescent="0.3">
      <c r="A55" s="490"/>
      <c r="B55" s="182"/>
      <c r="C55" s="491"/>
      <c r="D55" s="492"/>
      <c r="E55" s="492"/>
      <c r="F55" s="492"/>
      <c r="G55" s="492"/>
      <c r="H55" s="492"/>
      <c r="I55" s="173"/>
      <c r="J55" s="919"/>
      <c r="K55" s="919"/>
      <c r="L55" s="919"/>
      <c r="M55" s="919"/>
      <c r="N55" s="919"/>
      <c r="O55" s="919"/>
      <c r="P55" s="919"/>
      <c r="Q55" s="919"/>
      <c r="R55" s="919"/>
    </row>
    <row r="56" spans="1:18" ht="14.1" customHeight="1" x14ac:dyDescent="0.3">
      <c r="A56" s="179" t="s">
        <v>1072</v>
      </c>
      <c r="B56" s="1314" t="str">
        <f>Éqpmt!$B$6</f>
        <v>DR</v>
      </c>
      <c r="C56" s="191" t="s">
        <v>143</v>
      </c>
      <c r="D56" s="176"/>
      <c r="E56" s="176"/>
      <c r="F56" s="176"/>
      <c r="G56" s="176"/>
      <c r="H56" s="176"/>
      <c r="I56" s="173"/>
      <c r="J56" s="919"/>
      <c r="K56" s="919"/>
      <c r="L56" s="919"/>
      <c r="M56" s="919"/>
      <c r="N56" s="919"/>
      <c r="O56" s="919"/>
      <c r="P56" s="919"/>
      <c r="Q56" s="919"/>
      <c r="R56" s="919"/>
    </row>
    <row r="57" spans="1:18" ht="14.1" customHeight="1" x14ac:dyDescent="0.3">
      <c r="A57" s="563"/>
      <c r="B57" s="1316"/>
      <c r="C57" s="562" t="s">
        <v>585</v>
      </c>
      <c r="D57" s="192">
        <v>80</v>
      </c>
      <c r="E57" s="176"/>
      <c r="F57" s="176"/>
      <c r="G57" s="176"/>
      <c r="H57" s="176"/>
      <c r="I57" s="173"/>
      <c r="J57" s="919"/>
      <c r="K57" s="919"/>
      <c r="L57" s="919"/>
      <c r="M57" s="919"/>
      <c r="N57" s="919"/>
      <c r="O57" s="919"/>
      <c r="P57" s="919"/>
      <c r="Q57" s="919"/>
      <c r="R57" s="919"/>
    </row>
    <row r="58" spans="1:18" ht="14.4" x14ac:dyDescent="0.3">
      <c r="A58" s="480" t="s">
        <v>144</v>
      </c>
      <c r="B58" s="1650" t="s">
        <v>398</v>
      </c>
      <c r="C58" s="1288" t="s">
        <v>161</v>
      </c>
      <c r="D58" s="1287" t="s">
        <v>145</v>
      </c>
      <c r="E58" s="481" t="s">
        <v>146</v>
      </c>
      <c r="F58" s="481" t="s">
        <v>155</v>
      </c>
      <c r="G58" s="1518" t="s">
        <v>15</v>
      </c>
      <c r="H58" s="1518"/>
      <c r="I58" s="1078"/>
      <c r="J58" s="919"/>
      <c r="K58" s="919"/>
      <c r="L58" s="919"/>
      <c r="M58" s="919"/>
      <c r="N58" s="919"/>
      <c r="O58" s="919"/>
      <c r="P58" s="919"/>
      <c r="Q58" s="919"/>
      <c r="R58" s="919"/>
    </row>
    <row r="59" spans="1:18" ht="14.1" customHeight="1" x14ac:dyDescent="0.3">
      <c r="A59" s="484" t="s">
        <v>149</v>
      </c>
      <c r="B59" s="1651"/>
      <c r="C59" s="485" t="s">
        <v>150</v>
      </c>
      <c r="D59" s="462" t="s">
        <v>156</v>
      </c>
      <c r="E59" s="1289" t="s">
        <v>157</v>
      </c>
      <c r="F59" s="1289" t="s">
        <v>158</v>
      </c>
      <c r="G59" s="1286" t="s">
        <v>16</v>
      </c>
      <c r="H59" s="1286" t="s">
        <v>17</v>
      </c>
      <c r="I59" s="173"/>
      <c r="J59" s="919"/>
      <c r="K59" s="919"/>
      <c r="L59" s="919"/>
      <c r="M59" s="919"/>
      <c r="N59" s="919"/>
      <c r="O59" s="919"/>
      <c r="P59" s="919"/>
      <c r="Q59" s="919"/>
      <c r="R59" s="919"/>
    </row>
    <row r="60" spans="1:18" ht="13.2" customHeight="1" x14ac:dyDescent="0.3">
      <c r="A60" s="486" t="s">
        <v>399</v>
      </c>
      <c r="B60" s="1317" t="str">
        <f>Info!F37</f>
        <v>20-07-2019</v>
      </c>
      <c r="C60" s="187">
        <v>1400</v>
      </c>
      <c r="D60" s="188">
        <v>10</v>
      </c>
      <c r="E60" s="860">
        <f>IF(COUNTIF(C60:D60,""),"",+C60/D60)</f>
        <v>140</v>
      </c>
      <c r="F60" s="487"/>
      <c r="G60" s="1646"/>
      <c r="H60" s="1647"/>
      <c r="I60" s="173"/>
      <c r="J60" s="919"/>
      <c r="K60" s="919"/>
      <c r="L60" s="919"/>
      <c r="M60" s="919"/>
      <c r="N60" s="919"/>
      <c r="O60" s="919"/>
      <c r="P60" s="919"/>
      <c r="Q60" s="919"/>
      <c r="R60" s="919"/>
    </row>
    <row r="61" spans="1:18" ht="13.2" customHeight="1" x14ac:dyDescent="0.3">
      <c r="A61" s="486" t="s">
        <v>399</v>
      </c>
      <c r="B61" s="1317" t="str">
        <f>Info!C37</f>
        <v>20-01-2020</v>
      </c>
      <c r="C61" s="189">
        <v>1300</v>
      </c>
      <c r="D61" s="190">
        <v>10</v>
      </c>
      <c r="E61" s="464">
        <f>IF(COUNTIF(C61:D61,""),"",+C61/D61)</f>
        <v>130</v>
      </c>
      <c r="F61" s="874">
        <f>IF(COUNTIF(C60:D61,""),"",+ABS((E61-E60)/E60))</f>
        <v>7.1428571428571425E-2</v>
      </c>
      <c r="G61" s="489" t="str">
        <f>IF(COUNTIF(C60:D61,""),"",IF(F61&lt;=30%,"X",""))</f>
        <v>X</v>
      </c>
      <c r="H61" s="489" t="str">
        <f>IF(COUNTIF(C60:D61,""),"",IF(F61&gt;30%,"X",""))</f>
        <v/>
      </c>
      <c r="I61" s="173"/>
      <c r="J61" s="919"/>
      <c r="K61" s="920" t="s">
        <v>552</v>
      </c>
      <c r="L61" s="930"/>
      <c r="M61" s="930"/>
      <c r="N61" s="930"/>
      <c r="O61" s="930"/>
      <c r="P61" s="919"/>
      <c r="Q61" s="919"/>
      <c r="R61" s="919"/>
    </row>
    <row r="62" spans="1:18" ht="13.2" customHeight="1" x14ac:dyDescent="0.3">
      <c r="A62" s="486" t="s">
        <v>399</v>
      </c>
      <c r="B62" s="186" t="s">
        <v>400</v>
      </c>
      <c r="C62" s="183"/>
      <c r="D62" s="184"/>
      <c r="E62" s="608"/>
      <c r="F62" s="875"/>
      <c r="G62" s="609"/>
      <c r="H62" s="609"/>
      <c r="I62" s="173"/>
      <c r="J62" s="919"/>
      <c r="K62" s="919"/>
      <c r="L62" s="931"/>
      <c r="M62" s="931"/>
      <c r="N62" s="931"/>
      <c r="O62" s="931"/>
      <c r="P62" s="919"/>
      <c r="Q62" s="919"/>
      <c r="R62" s="919"/>
    </row>
    <row r="63" spans="1:18" ht="13.2" customHeight="1" x14ac:dyDescent="0.3">
      <c r="A63" s="486" t="s">
        <v>399</v>
      </c>
      <c r="B63" s="186" t="s">
        <v>400</v>
      </c>
      <c r="C63" s="183"/>
      <c r="D63" s="184"/>
      <c r="E63" s="184"/>
      <c r="F63" s="876"/>
      <c r="G63" s="185"/>
      <c r="H63" s="185"/>
      <c r="I63" s="173"/>
      <c r="J63" s="919"/>
      <c r="K63" s="919"/>
      <c r="L63" s="919"/>
      <c r="M63" s="919"/>
      <c r="N63" s="919"/>
      <c r="O63" s="919"/>
      <c r="P63" s="919"/>
      <c r="Q63" s="919"/>
      <c r="R63" s="919"/>
    </row>
    <row r="64" spans="1:18" ht="14.4" x14ac:dyDescent="0.3">
      <c r="A64" s="474" t="s">
        <v>800</v>
      </c>
      <c r="B64" s="182"/>
      <c r="C64" s="491"/>
      <c r="D64" s="493"/>
      <c r="E64" s="493"/>
      <c r="F64" s="493"/>
      <c r="G64" s="493"/>
      <c r="H64" s="493"/>
      <c r="I64" s="173"/>
      <c r="J64" s="919"/>
      <c r="K64" s="919"/>
      <c r="L64" s="919"/>
      <c r="M64" s="919"/>
      <c r="N64" s="919"/>
      <c r="O64" s="919"/>
      <c r="P64" s="919"/>
      <c r="Q64" s="919"/>
      <c r="R64" s="919"/>
    </row>
    <row r="65" spans="1:26" ht="14.4" x14ac:dyDescent="0.3">
      <c r="A65" s="474" t="s">
        <v>890</v>
      </c>
      <c r="B65" s="182"/>
      <c r="C65" s="491"/>
      <c r="D65" s="493"/>
      <c r="E65" s="493"/>
      <c r="F65" s="493"/>
      <c r="G65" s="493"/>
      <c r="H65" s="493"/>
      <c r="I65" s="173"/>
      <c r="J65" s="919"/>
      <c r="K65" s="919"/>
      <c r="L65" s="919"/>
      <c r="M65" s="919"/>
      <c r="N65" s="919"/>
      <c r="O65" s="919"/>
      <c r="P65" s="919"/>
      <c r="Q65" s="919"/>
      <c r="R65" s="919"/>
    </row>
    <row r="66" spans="1:26" ht="14.4" x14ac:dyDescent="0.3">
      <c r="A66" s="603" t="s">
        <v>778</v>
      </c>
      <c r="B66" s="603"/>
      <c r="C66" s="908"/>
      <c r="D66" s="1648"/>
      <c r="E66" s="1648"/>
      <c r="F66" s="1648"/>
      <c r="G66" s="1648"/>
      <c r="H66" s="1648"/>
      <c r="I66" s="173"/>
      <c r="J66" s="919"/>
      <c r="K66" s="919"/>
      <c r="L66" s="919"/>
      <c r="M66" s="919"/>
      <c r="N66" s="919"/>
      <c r="O66" s="919"/>
      <c r="P66" s="919"/>
      <c r="Q66" s="919"/>
      <c r="R66" s="919"/>
    </row>
    <row r="67" spans="1:26" ht="14.4" x14ac:dyDescent="0.3">
      <c r="A67" s="1535"/>
      <c r="B67" s="1535"/>
      <c r="C67" s="1535"/>
      <c r="D67" s="1535"/>
      <c r="E67" s="1535"/>
      <c r="F67" s="1535"/>
      <c r="G67" s="1535"/>
      <c r="H67" s="1535"/>
      <c r="I67" s="1079" t="s">
        <v>500</v>
      </c>
      <c r="J67" s="919"/>
      <c r="K67" s="919"/>
      <c r="L67" s="919"/>
      <c r="M67" s="919"/>
      <c r="N67" s="919"/>
      <c r="O67" s="919"/>
      <c r="P67" s="919"/>
      <c r="Q67" s="919"/>
      <c r="R67" s="919"/>
    </row>
    <row r="68" spans="1:26" ht="14.4" x14ac:dyDescent="0.3">
      <c r="A68" s="1563"/>
      <c r="B68" s="1563"/>
      <c r="C68" s="1563"/>
      <c r="D68" s="1563"/>
      <c r="E68" s="1563"/>
      <c r="F68" s="1563"/>
      <c r="G68" s="1563"/>
      <c r="H68" s="1563"/>
      <c r="I68" s="5">
        <f>COUNTIF(H52:H54,"X")+COUNTIF(H31:H39,"X")+COUNTIF(H61:H63,"X")+COUNTIF(H17:H25,"X")</f>
        <v>11</v>
      </c>
      <c r="K68" s="919"/>
      <c r="L68" s="919"/>
      <c r="M68" s="919"/>
      <c r="N68" s="919"/>
      <c r="O68" s="919"/>
      <c r="P68" s="919"/>
      <c r="Q68" s="919"/>
      <c r="R68" s="919"/>
    </row>
    <row r="71" spans="1:26" x14ac:dyDescent="0.25">
      <c r="T71" s="496"/>
      <c r="U71" s="497"/>
      <c r="V71" s="496"/>
      <c r="W71" s="496"/>
      <c r="X71" s="496"/>
      <c r="Y71" s="496"/>
      <c r="Z71" s="496"/>
    </row>
    <row r="73" spans="1:26" x14ac:dyDescent="0.25">
      <c r="L73" s="496"/>
      <c r="M73" s="497"/>
      <c r="N73" s="496"/>
      <c r="O73" s="496"/>
      <c r="P73" s="496"/>
      <c r="Q73" s="496"/>
      <c r="R73" s="496"/>
    </row>
    <row r="74" spans="1:26" x14ac:dyDescent="0.25">
      <c r="L74" s="496"/>
      <c r="M74" s="497"/>
      <c r="N74" s="496"/>
      <c r="O74" s="496"/>
      <c r="P74" s="496"/>
      <c r="Q74" s="496"/>
      <c r="R74" s="496"/>
    </row>
    <row r="75" spans="1:26" x14ac:dyDescent="0.25">
      <c r="L75" s="496"/>
      <c r="M75" s="497"/>
      <c r="N75" s="496"/>
      <c r="O75" s="496"/>
      <c r="P75" s="496"/>
      <c r="Q75" s="496"/>
      <c r="R75" s="496"/>
    </row>
    <row r="76" spans="1:26" x14ac:dyDescent="0.25">
      <c r="L76" s="496"/>
      <c r="M76" s="497"/>
      <c r="N76" s="496"/>
      <c r="O76" s="496"/>
      <c r="P76" s="496"/>
      <c r="Q76" s="496"/>
      <c r="R76" s="496"/>
    </row>
    <row r="77" spans="1:26" x14ac:dyDescent="0.25">
      <c r="L77" s="496"/>
      <c r="M77" s="496"/>
      <c r="N77" s="496"/>
      <c r="O77" s="496"/>
      <c r="P77" s="496"/>
      <c r="Q77" s="496"/>
      <c r="R77" s="496"/>
    </row>
    <row r="78" spans="1:26" x14ac:dyDescent="0.25">
      <c r="L78" s="496"/>
      <c r="M78" s="497"/>
      <c r="N78" s="496"/>
      <c r="O78" s="496"/>
      <c r="P78" s="496"/>
      <c r="Q78" s="496"/>
      <c r="R78" s="496"/>
    </row>
    <row r="79" spans="1:26" x14ac:dyDescent="0.25">
      <c r="L79" s="496"/>
      <c r="M79" s="497"/>
      <c r="N79" s="496"/>
      <c r="O79" s="496"/>
      <c r="P79" s="496"/>
      <c r="Q79" s="496"/>
      <c r="R79" s="496"/>
    </row>
    <row r="80" spans="1:26" x14ac:dyDescent="0.25">
      <c r="L80" s="496"/>
      <c r="M80" s="497"/>
      <c r="N80" s="496"/>
      <c r="O80" s="496"/>
      <c r="P80" s="496"/>
      <c r="Q80" s="496"/>
      <c r="R80" s="496"/>
    </row>
    <row r="81" spans="12:18" x14ac:dyDescent="0.25">
      <c r="L81" s="496"/>
      <c r="M81" s="497"/>
      <c r="N81" s="496"/>
      <c r="O81" s="496"/>
      <c r="P81" s="496"/>
      <c r="Q81" s="496"/>
      <c r="R81" s="496"/>
    </row>
    <row r="82" spans="12:18" x14ac:dyDescent="0.25">
      <c r="L82" s="496"/>
      <c r="M82" s="497"/>
      <c r="N82" s="496"/>
      <c r="O82" s="496"/>
      <c r="P82" s="496"/>
      <c r="Q82" s="496"/>
      <c r="R82" s="496"/>
    </row>
    <row r="83" spans="12:18" x14ac:dyDescent="0.25">
      <c r="L83" s="496"/>
      <c r="M83" s="497"/>
      <c r="N83" s="496"/>
      <c r="O83" s="496"/>
      <c r="P83" s="496"/>
      <c r="Q83" s="496"/>
      <c r="R83" s="496"/>
    </row>
    <row r="84" spans="12:18" x14ac:dyDescent="0.25">
      <c r="L84" s="496"/>
      <c r="M84" s="497"/>
      <c r="N84" s="496"/>
      <c r="O84" s="496"/>
      <c r="P84" s="496"/>
      <c r="Q84" s="496"/>
      <c r="R84" s="496"/>
    </row>
    <row r="85" spans="12:18" x14ac:dyDescent="0.25">
      <c r="L85" s="496"/>
      <c r="M85" s="497"/>
      <c r="N85" s="496"/>
      <c r="O85" s="496"/>
      <c r="P85" s="496"/>
      <c r="Q85" s="496"/>
      <c r="R85" s="496"/>
    </row>
    <row r="86" spans="12:18" x14ac:dyDescent="0.25">
      <c r="L86" s="496"/>
      <c r="M86" s="497"/>
      <c r="N86" s="496"/>
      <c r="O86" s="496"/>
      <c r="P86" s="496"/>
      <c r="Q86" s="496"/>
      <c r="R86" s="496"/>
    </row>
    <row r="87" spans="12:18" x14ac:dyDescent="0.25">
      <c r="L87" s="496"/>
      <c r="M87" s="497"/>
      <c r="N87" s="496"/>
      <c r="O87" s="496"/>
      <c r="P87" s="496"/>
      <c r="Q87" s="496"/>
      <c r="R87" s="496"/>
    </row>
    <row r="88" spans="12:18" x14ac:dyDescent="0.25">
      <c r="L88" s="496"/>
      <c r="M88" s="497"/>
      <c r="N88" s="496"/>
      <c r="O88" s="496"/>
      <c r="P88" s="496"/>
      <c r="Q88" s="496"/>
      <c r="R88" s="496"/>
    </row>
    <row r="89" spans="12:18" x14ac:dyDescent="0.25">
      <c r="L89" s="496"/>
      <c r="M89" s="497"/>
      <c r="N89" s="496"/>
      <c r="O89" s="496"/>
      <c r="P89" s="496"/>
      <c r="Q89" s="496"/>
      <c r="R89" s="496"/>
    </row>
    <row r="90" spans="12:18" x14ac:dyDescent="0.25">
      <c r="L90" s="496"/>
      <c r="M90" s="496"/>
      <c r="N90" s="496"/>
      <c r="O90" s="496"/>
      <c r="P90" s="496"/>
      <c r="Q90" s="496"/>
      <c r="R90" s="496"/>
    </row>
    <row r="91" spans="12:18" x14ac:dyDescent="0.25">
      <c r="L91" s="496"/>
      <c r="M91" s="497"/>
      <c r="N91" s="496"/>
      <c r="O91" s="496"/>
      <c r="P91" s="496"/>
      <c r="Q91" s="496"/>
      <c r="R91" s="496"/>
    </row>
    <row r="92" spans="12:18" x14ac:dyDescent="0.25">
      <c r="L92" s="496"/>
      <c r="M92" s="496"/>
      <c r="N92" s="496"/>
      <c r="O92" s="496"/>
      <c r="P92" s="496"/>
      <c r="Q92" s="496"/>
      <c r="R92" s="496"/>
    </row>
    <row r="93" spans="12:18" x14ac:dyDescent="0.25">
      <c r="L93" s="496"/>
      <c r="M93" s="496"/>
      <c r="N93" s="496"/>
      <c r="O93" s="496"/>
      <c r="P93" s="496"/>
      <c r="Q93" s="496"/>
      <c r="R93" s="496"/>
    </row>
    <row r="94" spans="12:18" x14ac:dyDescent="0.25">
      <c r="L94" s="496"/>
      <c r="M94" s="496"/>
      <c r="N94" s="496"/>
      <c r="O94" s="496"/>
      <c r="P94" s="496"/>
      <c r="Q94" s="496"/>
      <c r="R94" s="496"/>
    </row>
    <row r="95" spans="12:18" x14ac:dyDescent="0.25">
      <c r="L95" s="496"/>
      <c r="M95" s="496"/>
      <c r="N95" s="496"/>
      <c r="O95" s="496"/>
      <c r="P95" s="496"/>
      <c r="Q95" s="496"/>
      <c r="R95" s="496"/>
    </row>
    <row r="96" spans="12:18" x14ac:dyDescent="0.25">
      <c r="L96" s="496"/>
      <c r="M96" s="496"/>
      <c r="N96" s="496"/>
      <c r="O96" s="496"/>
      <c r="P96" s="496"/>
      <c r="Q96" s="496"/>
      <c r="R96" s="496"/>
    </row>
    <row r="97" spans="12:18" x14ac:dyDescent="0.25">
      <c r="L97" s="496"/>
      <c r="M97" s="496"/>
      <c r="N97" s="496"/>
      <c r="O97" s="496"/>
      <c r="P97" s="496"/>
      <c r="Q97" s="496"/>
      <c r="R97" s="496"/>
    </row>
    <row r="98" spans="12:18" x14ac:dyDescent="0.25">
      <c r="L98" s="496"/>
      <c r="M98" s="496"/>
      <c r="N98" s="496"/>
      <c r="O98" s="496"/>
      <c r="P98" s="496"/>
      <c r="Q98" s="496"/>
      <c r="R98" s="496"/>
    </row>
    <row r="99" spans="12:18" x14ac:dyDescent="0.25">
      <c r="L99" s="496"/>
      <c r="M99" s="496"/>
      <c r="N99" s="496"/>
      <c r="O99" s="496"/>
      <c r="P99" s="496"/>
      <c r="Q99" s="496"/>
      <c r="R99" s="496"/>
    </row>
    <row r="100" spans="12:18" x14ac:dyDescent="0.25">
      <c r="L100" s="496"/>
      <c r="M100" s="496"/>
      <c r="N100" s="496"/>
      <c r="O100" s="496"/>
      <c r="P100" s="496"/>
      <c r="Q100" s="496"/>
      <c r="R100" s="496"/>
    </row>
    <row r="101" spans="12:18" x14ac:dyDescent="0.25">
      <c r="L101" s="496"/>
      <c r="M101" s="496"/>
      <c r="N101" s="496"/>
      <c r="O101" s="496"/>
      <c r="P101" s="496"/>
      <c r="Q101" s="496"/>
      <c r="R101" s="496"/>
    </row>
    <row r="102" spans="12:18" x14ac:dyDescent="0.25">
      <c r="L102" s="496"/>
      <c r="M102" s="496"/>
      <c r="N102" s="496"/>
      <c r="O102" s="496"/>
      <c r="P102" s="496"/>
      <c r="Q102" s="496"/>
      <c r="R102" s="496"/>
    </row>
    <row r="103" spans="12:18" x14ac:dyDescent="0.25">
      <c r="L103" s="496"/>
      <c r="M103" s="496"/>
      <c r="N103" s="496"/>
      <c r="O103" s="496"/>
      <c r="P103" s="496"/>
      <c r="Q103" s="496"/>
      <c r="R103" s="496"/>
    </row>
    <row r="104" spans="12:18" x14ac:dyDescent="0.25">
      <c r="L104" s="496"/>
      <c r="M104" s="496"/>
      <c r="N104" s="496"/>
      <c r="O104" s="496"/>
      <c r="P104" s="496"/>
      <c r="Q104" s="496"/>
      <c r="R104" s="496"/>
    </row>
    <row r="105" spans="12:18" x14ac:dyDescent="0.25">
      <c r="L105" s="496"/>
      <c r="M105" s="496"/>
      <c r="N105" s="496"/>
      <c r="O105" s="496"/>
      <c r="P105" s="496"/>
      <c r="Q105" s="496"/>
      <c r="R105" s="496"/>
    </row>
    <row r="106" spans="12:18" x14ac:dyDescent="0.25">
      <c r="L106" s="496"/>
      <c r="M106" s="496"/>
      <c r="N106" s="496"/>
      <c r="O106" s="496"/>
      <c r="P106" s="496"/>
      <c r="Q106" s="496"/>
      <c r="R106" s="496"/>
    </row>
    <row r="107" spans="12:18" x14ac:dyDescent="0.25">
      <c r="L107" s="496"/>
      <c r="M107" s="496"/>
      <c r="N107" s="496"/>
      <c r="O107" s="496"/>
      <c r="P107" s="496"/>
      <c r="Q107" s="496"/>
      <c r="R107" s="496"/>
    </row>
    <row r="108" spans="12:18" x14ac:dyDescent="0.25">
      <c r="L108" s="496"/>
      <c r="M108" s="496"/>
      <c r="N108" s="496"/>
      <c r="O108" s="496"/>
      <c r="P108" s="496"/>
      <c r="Q108" s="496"/>
      <c r="R108" s="496"/>
    </row>
    <row r="109" spans="12:18" x14ac:dyDescent="0.25">
      <c r="L109" s="496"/>
      <c r="M109" s="496"/>
      <c r="N109" s="496"/>
      <c r="O109" s="496"/>
      <c r="P109" s="496"/>
      <c r="Q109" s="496"/>
      <c r="R109" s="496"/>
    </row>
    <row r="110" spans="12:18" x14ac:dyDescent="0.25">
      <c r="L110" s="496"/>
      <c r="M110" s="496"/>
      <c r="N110" s="496"/>
      <c r="O110" s="496"/>
      <c r="P110" s="496"/>
      <c r="Q110" s="496"/>
      <c r="R110" s="496"/>
    </row>
    <row r="111" spans="12:18" x14ac:dyDescent="0.25">
      <c r="L111" s="496"/>
      <c r="M111" s="496"/>
      <c r="N111" s="496"/>
      <c r="O111" s="496"/>
      <c r="P111" s="496"/>
      <c r="Q111" s="496"/>
      <c r="R111" s="496"/>
    </row>
    <row r="112" spans="12:18" x14ac:dyDescent="0.25">
      <c r="L112" s="496"/>
      <c r="M112" s="496"/>
      <c r="N112" s="496"/>
      <c r="O112" s="496"/>
      <c r="P112" s="496"/>
      <c r="Q112" s="496"/>
      <c r="R112" s="496"/>
    </row>
    <row r="113" spans="12:18" x14ac:dyDescent="0.25">
      <c r="L113" s="496"/>
      <c r="M113" s="496"/>
      <c r="N113" s="496"/>
      <c r="O113" s="496"/>
      <c r="P113" s="496"/>
      <c r="Q113" s="496"/>
      <c r="R113" s="496"/>
    </row>
    <row r="114" spans="12:18" x14ac:dyDescent="0.25">
      <c r="L114" s="496"/>
      <c r="M114" s="496"/>
      <c r="N114" s="496"/>
      <c r="O114" s="496"/>
      <c r="P114" s="496"/>
      <c r="Q114" s="496"/>
      <c r="R114" s="496"/>
    </row>
    <row r="115" spans="12:18" x14ac:dyDescent="0.25">
      <c r="L115" s="496"/>
      <c r="M115" s="496"/>
      <c r="N115" s="496"/>
      <c r="O115" s="496"/>
      <c r="P115" s="496"/>
      <c r="Q115" s="496"/>
      <c r="R115" s="496"/>
    </row>
    <row r="116" spans="12:18" x14ac:dyDescent="0.25">
      <c r="L116" s="496"/>
      <c r="M116" s="496"/>
      <c r="N116" s="496"/>
      <c r="O116" s="496"/>
      <c r="P116" s="496"/>
      <c r="Q116" s="496"/>
      <c r="R116" s="496"/>
    </row>
    <row r="117" spans="12:18" x14ac:dyDescent="0.25">
      <c r="L117" s="496"/>
      <c r="M117" s="496"/>
      <c r="N117" s="496"/>
      <c r="O117" s="496"/>
      <c r="P117" s="496"/>
      <c r="Q117" s="496"/>
      <c r="R117" s="496"/>
    </row>
    <row r="118" spans="12:18" x14ac:dyDescent="0.25">
      <c r="L118" s="496"/>
      <c r="M118" s="496"/>
      <c r="N118" s="496"/>
      <c r="O118" s="496"/>
      <c r="P118" s="496"/>
      <c r="Q118" s="496"/>
      <c r="R118" s="496"/>
    </row>
    <row r="119" spans="12:18" x14ac:dyDescent="0.25">
      <c r="L119" s="496"/>
      <c r="M119" s="496"/>
      <c r="N119" s="496"/>
      <c r="O119" s="496"/>
      <c r="P119" s="496"/>
      <c r="Q119" s="496"/>
      <c r="R119" s="496"/>
    </row>
    <row r="120" spans="12:18" x14ac:dyDescent="0.25">
      <c r="L120" s="496"/>
      <c r="M120" s="496"/>
      <c r="N120" s="496"/>
      <c r="O120" s="496"/>
      <c r="P120" s="496"/>
      <c r="Q120" s="496"/>
      <c r="R120" s="496"/>
    </row>
    <row r="121" spans="12:18" x14ac:dyDescent="0.25">
      <c r="L121" s="496"/>
      <c r="M121" s="496"/>
      <c r="N121" s="496"/>
      <c r="O121" s="496"/>
      <c r="P121" s="496"/>
      <c r="Q121" s="496"/>
      <c r="R121" s="496"/>
    </row>
    <row r="122" spans="12:18" x14ac:dyDescent="0.25">
      <c r="L122" s="496"/>
      <c r="M122" s="496"/>
      <c r="N122" s="496"/>
      <c r="O122" s="496"/>
      <c r="P122" s="496"/>
      <c r="Q122" s="496"/>
      <c r="R122" s="496"/>
    </row>
    <row r="123" spans="12:18" x14ac:dyDescent="0.25">
      <c r="L123" s="496"/>
      <c r="M123" s="496"/>
      <c r="N123" s="496"/>
      <c r="O123" s="496"/>
      <c r="P123" s="496"/>
      <c r="Q123" s="496"/>
      <c r="R123" s="496"/>
    </row>
    <row r="124" spans="12:18" x14ac:dyDescent="0.25">
      <c r="L124" s="496"/>
      <c r="M124" s="496"/>
      <c r="N124" s="496"/>
      <c r="O124" s="496"/>
      <c r="P124" s="496"/>
      <c r="Q124" s="496"/>
      <c r="R124" s="496"/>
    </row>
    <row r="125" spans="12:18" x14ac:dyDescent="0.25">
      <c r="L125" s="496"/>
      <c r="M125" s="496"/>
      <c r="N125" s="496"/>
      <c r="O125" s="496"/>
      <c r="P125" s="496"/>
      <c r="Q125" s="496"/>
      <c r="R125" s="496"/>
    </row>
    <row r="126" spans="12:18" x14ac:dyDescent="0.25">
      <c r="L126" s="496"/>
      <c r="M126" s="496"/>
      <c r="N126" s="496"/>
      <c r="O126" s="496"/>
      <c r="P126" s="496"/>
      <c r="Q126" s="496"/>
      <c r="R126" s="496"/>
    </row>
    <row r="127" spans="12:18" x14ac:dyDescent="0.25">
      <c r="L127" s="496"/>
      <c r="M127" s="496"/>
      <c r="N127" s="496"/>
      <c r="O127" s="496"/>
      <c r="P127" s="496"/>
      <c r="Q127" s="496"/>
      <c r="R127" s="496"/>
    </row>
    <row r="128" spans="12:18" x14ac:dyDescent="0.25">
      <c r="L128" s="496"/>
      <c r="M128" s="496"/>
      <c r="N128" s="496"/>
      <c r="O128" s="496"/>
      <c r="P128" s="496"/>
      <c r="Q128" s="496"/>
      <c r="R128" s="496"/>
    </row>
    <row r="129" spans="12:18" x14ac:dyDescent="0.25">
      <c r="L129" s="496"/>
      <c r="M129" s="496"/>
      <c r="N129" s="496"/>
      <c r="O129" s="496"/>
      <c r="P129" s="496"/>
      <c r="Q129" s="496"/>
      <c r="R129" s="496"/>
    </row>
    <row r="130" spans="12:18" x14ac:dyDescent="0.25">
      <c r="L130" s="496"/>
      <c r="M130" s="496"/>
      <c r="N130" s="496"/>
      <c r="O130" s="496"/>
      <c r="P130" s="496"/>
      <c r="Q130" s="496"/>
      <c r="R130" s="496"/>
    </row>
    <row r="131" spans="12:18" x14ac:dyDescent="0.25">
      <c r="L131" s="496"/>
      <c r="M131" s="496"/>
      <c r="N131" s="496"/>
      <c r="O131" s="496"/>
      <c r="P131" s="496"/>
      <c r="Q131" s="496"/>
      <c r="R131" s="496"/>
    </row>
    <row r="132" spans="12:18" x14ac:dyDescent="0.25">
      <c r="L132" s="496"/>
      <c r="M132" s="496"/>
      <c r="N132" s="496"/>
      <c r="O132" s="496"/>
      <c r="P132" s="496"/>
      <c r="Q132" s="496"/>
      <c r="R132" s="496"/>
    </row>
    <row r="133" spans="12:18" x14ac:dyDescent="0.25">
      <c r="L133" s="496"/>
      <c r="M133" s="496"/>
      <c r="N133" s="496"/>
      <c r="O133" s="496"/>
      <c r="P133" s="496"/>
      <c r="Q133" s="496"/>
      <c r="R133" s="496"/>
    </row>
    <row r="134" spans="12:18" x14ac:dyDescent="0.25">
      <c r="L134" s="496"/>
      <c r="M134" s="496"/>
      <c r="N134" s="496"/>
      <c r="O134" s="496"/>
      <c r="P134" s="496"/>
      <c r="Q134" s="496"/>
      <c r="R134" s="496"/>
    </row>
    <row r="135" spans="12:18" x14ac:dyDescent="0.25">
      <c r="L135" s="496"/>
      <c r="M135" s="496"/>
      <c r="N135" s="496"/>
      <c r="O135" s="496"/>
      <c r="P135" s="496"/>
      <c r="Q135" s="496"/>
      <c r="R135" s="496"/>
    </row>
    <row r="136" spans="12:18" x14ac:dyDescent="0.25">
      <c r="L136" s="496"/>
      <c r="M136" s="496"/>
      <c r="N136" s="496"/>
      <c r="O136" s="496"/>
      <c r="P136" s="496"/>
      <c r="Q136" s="496"/>
      <c r="R136" s="496"/>
    </row>
    <row r="137" spans="12:18" x14ac:dyDescent="0.25">
      <c r="L137" s="496"/>
      <c r="M137" s="496"/>
      <c r="N137" s="496"/>
      <c r="O137" s="496"/>
      <c r="P137" s="496"/>
      <c r="Q137" s="496"/>
      <c r="R137" s="496"/>
    </row>
    <row r="138" spans="12:18" x14ac:dyDescent="0.25">
      <c r="L138" s="496"/>
      <c r="M138" s="496"/>
      <c r="N138" s="496"/>
      <c r="O138" s="496"/>
      <c r="P138" s="496"/>
      <c r="Q138" s="496"/>
      <c r="R138" s="496"/>
    </row>
    <row r="139" spans="12:18" x14ac:dyDescent="0.25">
      <c r="L139" s="496"/>
      <c r="M139" s="496"/>
      <c r="N139" s="496"/>
      <c r="O139" s="496"/>
      <c r="P139" s="496"/>
      <c r="Q139" s="496"/>
      <c r="R139" s="496"/>
    </row>
    <row r="140" spans="12:18" x14ac:dyDescent="0.25">
      <c r="L140" s="496"/>
      <c r="M140" s="496"/>
      <c r="N140" s="496"/>
      <c r="O140" s="496"/>
      <c r="P140" s="496"/>
      <c r="Q140" s="496"/>
      <c r="R140" s="496"/>
    </row>
    <row r="141" spans="12:18" x14ac:dyDescent="0.25">
      <c r="L141" s="496"/>
      <c r="M141" s="496"/>
      <c r="N141" s="496"/>
      <c r="O141" s="496"/>
      <c r="P141" s="496"/>
      <c r="Q141" s="496"/>
      <c r="R141" s="496"/>
    </row>
    <row r="142" spans="12:18" x14ac:dyDescent="0.25">
      <c r="L142" s="496"/>
      <c r="M142" s="496"/>
      <c r="N142" s="496"/>
      <c r="O142" s="496"/>
      <c r="P142" s="496"/>
      <c r="Q142" s="496"/>
      <c r="R142" s="496"/>
    </row>
    <row r="143" spans="12:18" x14ac:dyDescent="0.25">
      <c r="L143" s="496"/>
      <c r="M143" s="496"/>
      <c r="N143" s="496"/>
      <c r="O143" s="496"/>
      <c r="P143" s="496"/>
      <c r="Q143" s="496"/>
      <c r="R143" s="496"/>
    </row>
    <row r="144" spans="12:18" x14ac:dyDescent="0.25">
      <c r="L144" s="496"/>
      <c r="M144" s="496"/>
      <c r="N144" s="496"/>
      <c r="O144" s="496"/>
      <c r="P144" s="496"/>
      <c r="Q144" s="496"/>
      <c r="R144" s="496"/>
    </row>
    <row r="145" spans="12:18" x14ac:dyDescent="0.25">
      <c r="L145" s="496"/>
      <c r="M145" s="496"/>
      <c r="N145" s="496"/>
      <c r="O145" s="496"/>
      <c r="P145" s="496"/>
      <c r="Q145" s="496"/>
      <c r="R145" s="496"/>
    </row>
    <row r="146" spans="12:18" x14ac:dyDescent="0.25">
      <c r="L146" s="496"/>
      <c r="M146" s="496"/>
      <c r="N146" s="496"/>
      <c r="O146" s="496"/>
      <c r="P146" s="496"/>
      <c r="Q146" s="496"/>
      <c r="R146" s="496"/>
    </row>
    <row r="147" spans="12:18" x14ac:dyDescent="0.25">
      <c r="L147" s="496"/>
      <c r="M147" s="496"/>
      <c r="N147" s="496"/>
      <c r="O147" s="496"/>
      <c r="P147" s="496"/>
      <c r="Q147" s="496"/>
      <c r="R147" s="496"/>
    </row>
    <row r="148" spans="12:18" x14ac:dyDescent="0.25">
      <c r="L148" s="496"/>
      <c r="M148" s="496"/>
      <c r="N148" s="496"/>
      <c r="O148" s="496"/>
      <c r="P148" s="496"/>
      <c r="Q148" s="496"/>
      <c r="R148" s="496"/>
    </row>
    <row r="149" spans="12:18" x14ac:dyDescent="0.25">
      <c r="L149" s="496"/>
      <c r="M149" s="496"/>
      <c r="N149" s="496"/>
      <c r="O149" s="496"/>
      <c r="P149" s="496"/>
      <c r="Q149" s="496"/>
      <c r="R149" s="496"/>
    </row>
    <row r="150" spans="12:18" x14ac:dyDescent="0.25">
      <c r="L150" s="496"/>
      <c r="M150" s="496"/>
      <c r="N150" s="496"/>
      <c r="O150" s="496"/>
      <c r="P150" s="496"/>
      <c r="Q150" s="496"/>
      <c r="R150" s="496"/>
    </row>
    <row r="151" spans="12:18" x14ac:dyDescent="0.25">
      <c r="L151" s="496"/>
      <c r="M151" s="496"/>
      <c r="N151" s="496"/>
      <c r="O151" s="496"/>
      <c r="P151" s="496"/>
      <c r="Q151" s="496"/>
      <c r="R151" s="496"/>
    </row>
    <row r="152" spans="12:18" x14ac:dyDescent="0.25">
      <c r="L152" s="496"/>
      <c r="M152" s="496"/>
      <c r="N152" s="496"/>
      <c r="O152" s="496"/>
      <c r="P152" s="496"/>
      <c r="Q152" s="496"/>
      <c r="R152" s="496"/>
    </row>
    <row r="153" spans="12:18" x14ac:dyDescent="0.25">
      <c r="L153" s="496"/>
      <c r="M153" s="496"/>
      <c r="N153" s="496"/>
      <c r="O153" s="496"/>
      <c r="P153" s="496"/>
      <c r="Q153" s="496"/>
      <c r="R153" s="496"/>
    </row>
    <row r="154" spans="12:18" x14ac:dyDescent="0.25">
      <c r="L154" s="496"/>
      <c r="M154" s="496"/>
      <c r="N154" s="496"/>
      <c r="O154" s="496"/>
      <c r="P154" s="496"/>
      <c r="Q154" s="496"/>
      <c r="R154" s="496"/>
    </row>
    <row r="155" spans="12:18" x14ac:dyDescent="0.25">
      <c r="L155" s="496"/>
      <c r="M155" s="496"/>
      <c r="N155" s="496"/>
      <c r="O155" s="496"/>
      <c r="P155" s="496"/>
      <c r="Q155" s="496"/>
      <c r="R155" s="496"/>
    </row>
    <row r="156" spans="12:18" x14ac:dyDescent="0.25">
      <c r="L156" s="496"/>
      <c r="M156" s="496"/>
      <c r="N156" s="496"/>
      <c r="O156" s="496"/>
      <c r="P156" s="496"/>
      <c r="Q156" s="496"/>
      <c r="R156" s="496"/>
    </row>
    <row r="157" spans="12:18" x14ac:dyDescent="0.25">
      <c r="L157" s="496"/>
      <c r="M157" s="496"/>
      <c r="N157" s="496"/>
      <c r="O157" s="496"/>
      <c r="P157" s="496"/>
      <c r="Q157" s="496"/>
      <c r="R157" s="496"/>
    </row>
    <row r="158" spans="12:18" x14ac:dyDescent="0.25">
      <c r="L158" s="496"/>
      <c r="M158" s="496"/>
      <c r="N158" s="496"/>
      <c r="O158" s="496"/>
      <c r="P158" s="496"/>
      <c r="Q158" s="496"/>
      <c r="R158" s="496"/>
    </row>
    <row r="159" spans="12:18" x14ac:dyDescent="0.25">
      <c r="L159" s="496"/>
      <c r="M159" s="496"/>
      <c r="N159" s="496"/>
      <c r="O159" s="496"/>
      <c r="P159" s="496"/>
      <c r="Q159" s="496"/>
      <c r="R159" s="496"/>
    </row>
    <row r="160" spans="12:18" x14ac:dyDescent="0.25">
      <c r="L160" s="496"/>
      <c r="M160" s="496"/>
      <c r="N160" s="496"/>
      <c r="O160" s="496"/>
      <c r="P160" s="496"/>
      <c r="Q160" s="496"/>
      <c r="R160" s="496"/>
    </row>
    <row r="161" spans="12:18" x14ac:dyDescent="0.25">
      <c r="L161" s="496"/>
      <c r="M161" s="496"/>
      <c r="N161" s="496"/>
      <c r="O161" s="496"/>
      <c r="P161" s="496"/>
      <c r="Q161" s="496"/>
      <c r="R161" s="496"/>
    </row>
    <row r="162" spans="12:18" x14ac:dyDescent="0.25">
      <c r="L162" s="496"/>
      <c r="M162" s="496"/>
      <c r="N162" s="496"/>
      <c r="O162" s="496"/>
      <c r="P162" s="496"/>
      <c r="Q162" s="496"/>
      <c r="R162" s="496"/>
    </row>
    <row r="163" spans="12:18" x14ac:dyDescent="0.25">
      <c r="L163" s="496"/>
      <c r="M163" s="496"/>
      <c r="N163" s="496"/>
      <c r="O163" s="496"/>
      <c r="P163" s="496"/>
      <c r="Q163" s="496"/>
      <c r="R163" s="496"/>
    </row>
    <row r="164" spans="12:18" x14ac:dyDescent="0.25">
      <c r="L164" s="496"/>
      <c r="M164" s="496"/>
      <c r="N164" s="496"/>
      <c r="O164" s="496"/>
      <c r="P164" s="496"/>
      <c r="Q164" s="496"/>
      <c r="R164" s="496"/>
    </row>
    <row r="165" spans="12:18" x14ac:dyDescent="0.25">
      <c r="L165" s="496"/>
      <c r="M165" s="496"/>
      <c r="N165" s="496"/>
      <c r="O165" s="496"/>
      <c r="P165" s="496"/>
      <c r="Q165" s="496"/>
      <c r="R165" s="496"/>
    </row>
    <row r="166" spans="12:18" x14ac:dyDescent="0.25">
      <c r="L166" s="496"/>
      <c r="M166" s="496"/>
      <c r="N166" s="496"/>
      <c r="O166" s="496"/>
      <c r="P166" s="496"/>
      <c r="Q166" s="496"/>
      <c r="R166" s="496"/>
    </row>
    <row r="167" spans="12:18" x14ac:dyDescent="0.25">
      <c r="L167" s="496"/>
      <c r="M167" s="496"/>
      <c r="N167" s="496"/>
      <c r="O167" s="496"/>
      <c r="P167" s="496"/>
      <c r="Q167" s="496"/>
      <c r="R167" s="496"/>
    </row>
    <row r="168" spans="12:18" x14ac:dyDescent="0.25">
      <c r="L168" s="496"/>
      <c r="M168" s="496"/>
      <c r="N168" s="496"/>
      <c r="O168" s="496"/>
      <c r="P168" s="496"/>
      <c r="Q168" s="496"/>
      <c r="R168" s="496"/>
    </row>
    <row r="169" spans="12:18" x14ac:dyDescent="0.25">
      <c r="L169" s="496"/>
      <c r="M169" s="496"/>
      <c r="N169" s="496"/>
      <c r="O169" s="496"/>
      <c r="P169" s="496"/>
      <c r="Q169" s="496"/>
      <c r="R169" s="496"/>
    </row>
    <row r="170" spans="12:18" x14ac:dyDescent="0.25">
      <c r="L170" s="496"/>
      <c r="M170" s="496"/>
      <c r="N170" s="496"/>
      <c r="O170" s="496"/>
      <c r="P170" s="496"/>
      <c r="Q170" s="496"/>
      <c r="R170" s="496"/>
    </row>
    <row r="171" spans="12:18" x14ac:dyDescent="0.25">
      <c r="L171" s="496"/>
      <c r="M171" s="496"/>
      <c r="N171" s="496"/>
      <c r="O171" s="496"/>
      <c r="P171" s="496"/>
      <c r="Q171" s="496"/>
      <c r="R171" s="496"/>
    </row>
    <row r="172" spans="12:18" x14ac:dyDescent="0.25">
      <c r="L172" s="496"/>
      <c r="M172" s="496"/>
      <c r="N172" s="496"/>
      <c r="O172" s="496"/>
      <c r="P172" s="496"/>
      <c r="Q172" s="496"/>
      <c r="R172" s="496"/>
    </row>
    <row r="173" spans="12:18" x14ac:dyDescent="0.25">
      <c r="L173" s="496"/>
      <c r="M173" s="496"/>
      <c r="N173" s="496"/>
      <c r="O173" s="496"/>
      <c r="P173" s="496"/>
      <c r="Q173" s="496"/>
      <c r="R173" s="496"/>
    </row>
    <row r="174" spans="12:18" x14ac:dyDescent="0.25">
      <c r="L174" s="496"/>
      <c r="M174" s="496"/>
      <c r="N174" s="496"/>
      <c r="O174" s="496"/>
      <c r="P174" s="496"/>
      <c r="Q174" s="496"/>
      <c r="R174" s="496"/>
    </row>
    <row r="175" spans="12:18" x14ac:dyDescent="0.25">
      <c r="L175" s="496"/>
      <c r="M175" s="496"/>
      <c r="N175" s="496"/>
      <c r="O175" s="496"/>
      <c r="P175" s="496"/>
      <c r="Q175" s="496"/>
      <c r="R175" s="496"/>
    </row>
    <row r="176" spans="12:18" x14ac:dyDescent="0.25">
      <c r="L176" s="496"/>
      <c r="M176" s="496"/>
      <c r="N176" s="496"/>
      <c r="O176" s="496"/>
      <c r="P176" s="496"/>
      <c r="Q176" s="496"/>
      <c r="R176" s="496"/>
    </row>
    <row r="177" spans="12:18" x14ac:dyDescent="0.25">
      <c r="L177" s="496"/>
      <c r="M177" s="496"/>
      <c r="N177" s="496"/>
      <c r="O177" s="496"/>
      <c r="P177" s="496"/>
      <c r="Q177" s="496"/>
      <c r="R177" s="496"/>
    </row>
    <row r="178" spans="12:18" x14ac:dyDescent="0.25">
      <c r="L178" s="496"/>
      <c r="M178" s="496"/>
      <c r="N178" s="496"/>
      <c r="O178" s="496"/>
      <c r="P178" s="496"/>
      <c r="Q178" s="496"/>
      <c r="R178" s="496"/>
    </row>
    <row r="179" spans="12:18" x14ac:dyDescent="0.25">
      <c r="L179" s="496"/>
      <c r="M179" s="496"/>
      <c r="N179" s="496"/>
      <c r="O179" s="496"/>
      <c r="P179" s="496"/>
      <c r="Q179" s="496"/>
      <c r="R179" s="496"/>
    </row>
    <row r="180" spans="12:18" x14ac:dyDescent="0.25">
      <c r="L180" s="496"/>
      <c r="M180" s="496"/>
      <c r="N180" s="496"/>
      <c r="O180" s="496"/>
      <c r="P180" s="496"/>
      <c r="Q180" s="496"/>
      <c r="R180" s="496"/>
    </row>
    <row r="181" spans="12:18" x14ac:dyDescent="0.25">
      <c r="L181" s="496"/>
      <c r="M181" s="497"/>
      <c r="N181" s="496"/>
      <c r="O181" s="496"/>
      <c r="P181" s="496"/>
      <c r="Q181" s="496"/>
      <c r="R181" s="496"/>
    </row>
    <row r="182" spans="12:18" x14ac:dyDescent="0.25">
      <c r="L182" s="496"/>
      <c r="M182" s="496"/>
      <c r="N182" s="496"/>
      <c r="O182" s="496"/>
      <c r="P182" s="496"/>
      <c r="Q182" s="496"/>
      <c r="R182" s="496"/>
    </row>
    <row r="183" spans="12:18" x14ac:dyDescent="0.25">
      <c r="L183" s="496"/>
      <c r="M183" s="496"/>
      <c r="N183" s="496"/>
      <c r="O183" s="496"/>
      <c r="P183" s="496"/>
      <c r="Q183" s="496"/>
      <c r="R183" s="496"/>
    </row>
    <row r="184" spans="12:18" x14ac:dyDescent="0.25">
      <c r="L184" s="496"/>
      <c r="M184" s="496"/>
      <c r="N184" s="496"/>
      <c r="O184" s="496"/>
      <c r="P184" s="496"/>
      <c r="Q184" s="496"/>
      <c r="R184" s="496"/>
    </row>
    <row r="185" spans="12:18" x14ac:dyDescent="0.25">
      <c r="L185" s="496"/>
      <c r="M185" s="496"/>
      <c r="N185" s="496"/>
      <c r="O185" s="496"/>
      <c r="P185" s="496"/>
      <c r="Q185" s="496"/>
      <c r="R185" s="496"/>
    </row>
    <row r="186" spans="12:18" x14ac:dyDescent="0.25">
      <c r="L186" s="496"/>
      <c r="M186" s="496"/>
      <c r="N186" s="496"/>
      <c r="O186" s="496"/>
      <c r="P186" s="496"/>
      <c r="Q186" s="496"/>
      <c r="R186" s="496"/>
    </row>
    <row r="187" spans="12:18" x14ac:dyDescent="0.25">
      <c r="L187" s="496"/>
      <c r="M187" s="496"/>
      <c r="N187" s="496"/>
      <c r="O187" s="496"/>
      <c r="P187" s="496"/>
      <c r="Q187" s="496"/>
      <c r="R187" s="496"/>
    </row>
    <row r="188" spans="12:18" x14ac:dyDescent="0.25">
      <c r="L188" s="496"/>
      <c r="M188" s="496"/>
      <c r="N188" s="496"/>
      <c r="O188" s="496"/>
      <c r="P188" s="496"/>
      <c r="Q188" s="496"/>
      <c r="R188" s="496"/>
    </row>
    <row r="189" spans="12:18" x14ac:dyDescent="0.25">
      <c r="L189" s="496"/>
      <c r="M189" s="496"/>
      <c r="N189" s="496"/>
      <c r="O189" s="496"/>
      <c r="P189" s="496"/>
      <c r="Q189" s="496"/>
      <c r="R189" s="496"/>
    </row>
    <row r="190" spans="12:18" x14ac:dyDescent="0.25">
      <c r="L190" s="496"/>
      <c r="M190" s="496"/>
      <c r="N190" s="496"/>
      <c r="O190" s="496"/>
      <c r="P190" s="496"/>
      <c r="Q190" s="496"/>
      <c r="R190" s="496"/>
    </row>
    <row r="191" spans="12:18" x14ac:dyDescent="0.25">
      <c r="L191" s="496"/>
      <c r="M191" s="496"/>
      <c r="N191" s="496"/>
      <c r="O191" s="496"/>
      <c r="P191" s="496"/>
      <c r="Q191" s="496"/>
      <c r="R191" s="496"/>
    </row>
    <row r="192" spans="12:18" x14ac:dyDescent="0.25">
      <c r="L192" s="496"/>
      <c r="M192" s="496"/>
      <c r="N192" s="496"/>
      <c r="O192" s="496"/>
      <c r="P192" s="496"/>
      <c r="Q192" s="496"/>
      <c r="R192" s="496"/>
    </row>
    <row r="193" spans="12:18" x14ac:dyDescent="0.25">
      <c r="L193" s="496"/>
      <c r="M193" s="496"/>
      <c r="N193" s="496"/>
      <c r="O193" s="496"/>
      <c r="P193" s="496"/>
      <c r="Q193" s="496"/>
      <c r="R193" s="496"/>
    </row>
    <row r="194" spans="12:18" x14ac:dyDescent="0.25">
      <c r="L194" s="496"/>
      <c r="M194" s="496"/>
      <c r="N194" s="496"/>
      <c r="O194" s="496"/>
      <c r="P194" s="496"/>
      <c r="Q194" s="496"/>
      <c r="R194" s="496"/>
    </row>
    <row r="195" spans="12:18" x14ac:dyDescent="0.25">
      <c r="L195" s="496"/>
      <c r="M195" s="496"/>
      <c r="N195" s="496"/>
      <c r="O195" s="496"/>
      <c r="P195" s="496"/>
      <c r="Q195" s="496"/>
      <c r="R195" s="496"/>
    </row>
    <row r="196" spans="12:18" x14ac:dyDescent="0.25">
      <c r="L196" s="496"/>
      <c r="M196" s="496"/>
      <c r="N196" s="496"/>
      <c r="O196" s="496"/>
      <c r="P196" s="496"/>
      <c r="Q196" s="496"/>
      <c r="R196" s="496"/>
    </row>
    <row r="197" spans="12:18" x14ac:dyDescent="0.25">
      <c r="L197" s="496"/>
      <c r="M197" s="496"/>
      <c r="N197" s="496"/>
      <c r="O197" s="496"/>
      <c r="P197" s="496"/>
      <c r="Q197" s="496"/>
      <c r="R197" s="496"/>
    </row>
    <row r="198" spans="12:18" x14ac:dyDescent="0.25">
      <c r="L198" s="496"/>
      <c r="M198" s="496"/>
      <c r="N198" s="496"/>
      <c r="O198" s="496"/>
      <c r="P198" s="496"/>
      <c r="Q198" s="496"/>
      <c r="R198" s="496"/>
    </row>
    <row r="199" spans="12:18" x14ac:dyDescent="0.25">
      <c r="L199" s="496"/>
      <c r="M199" s="496"/>
      <c r="N199" s="496"/>
      <c r="O199" s="496"/>
      <c r="P199" s="496"/>
      <c r="Q199" s="496"/>
      <c r="R199" s="496"/>
    </row>
    <row r="200" spans="12:18" x14ac:dyDescent="0.25">
      <c r="L200" s="496"/>
      <c r="M200" s="496"/>
      <c r="N200" s="496"/>
      <c r="O200" s="496"/>
      <c r="P200" s="496"/>
      <c r="Q200" s="496"/>
      <c r="R200" s="496"/>
    </row>
    <row r="201" spans="12:18" x14ac:dyDescent="0.25">
      <c r="L201" s="496"/>
      <c r="M201" s="496"/>
      <c r="N201" s="496"/>
      <c r="O201" s="496"/>
      <c r="P201" s="496"/>
      <c r="Q201" s="496"/>
      <c r="R201" s="496"/>
    </row>
    <row r="202" spans="12:18" x14ac:dyDescent="0.25">
      <c r="L202" s="496"/>
      <c r="M202" s="496"/>
      <c r="N202" s="496"/>
      <c r="O202" s="496"/>
      <c r="P202" s="496"/>
      <c r="Q202" s="496"/>
      <c r="R202" s="496"/>
    </row>
    <row r="203" spans="12:18" x14ac:dyDescent="0.25">
      <c r="L203" s="496"/>
      <c r="M203" s="496"/>
      <c r="N203" s="496"/>
      <c r="O203" s="496"/>
      <c r="P203" s="496"/>
      <c r="Q203" s="496"/>
      <c r="R203" s="496"/>
    </row>
    <row r="204" spans="12:18" x14ac:dyDescent="0.25">
      <c r="L204" s="496"/>
      <c r="M204" s="496"/>
      <c r="N204" s="496"/>
      <c r="O204" s="496"/>
      <c r="P204" s="496"/>
      <c r="Q204" s="496"/>
      <c r="R204" s="496"/>
    </row>
    <row r="205" spans="12:18" x14ac:dyDescent="0.25">
      <c r="L205" s="496"/>
      <c r="M205" s="496"/>
      <c r="N205" s="496"/>
      <c r="O205" s="496"/>
      <c r="P205" s="496"/>
      <c r="Q205" s="496"/>
      <c r="R205" s="496"/>
    </row>
    <row r="206" spans="12:18" x14ac:dyDescent="0.25">
      <c r="L206" s="496"/>
      <c r="M206" s="496"/>
      <c r="N206" s="496"/>
      <c r="O206" s="496"/>
      <c r="P206" s="496"/>
      <c r="Q206" s="496"/>
      <c r="R206" s="496"/>
    </row>
    <row r="207" spans="12:18" x14ac:dyDescent="0.25">
      <c r="L207" s="496"/>
      <c r="M207" s="496"/>
      <c r="N207" s="496"/>
      <c r="O207" s="496"/>
      <c r="P207" s="496"/>
      <c r="Q207" s="496"/>
      <c r="R207" s="496"/>
    </row>
    <row r="208" spans="12:18" x14ac:dyDescent="0.25">
      <c r="L208" s="496"/>
      <c r="M208" s="496"/>
      <c r="N208" s="496"/>
      <c r="O208" s="496"/>
      <c r="P208" s="496"/>
      <c r="Q208" s="496"/>
      <c r="R208" s="496"/>
    </row>
    <row r="209" spans="12:18" x14ac:dyDescent="0.25">
      <c r="L209" s="496"/>
      <c r="M209" s="496"/>
      <c r="N209" s="496"/>
      <c r="O209" s="496"/>
      <c r="P209" s="496"/>
      <c r="Q209" s="496"/>
      <c r="R209" s="496"/>
    </row>
    <row r="210" spans="12:18" x14ac:dyDescent="0.25">
      <c r="L210" s="496"/>
      <c r="M210" s="496"/>
      <c r="N210" s="496"/>
      <c r="O210" s="496"/>
      <c r="P210" s="496"/>
      <c r="Q210" s="496"/>
      <c r="R210" s="496"/>
    </row>
    <row r="211" spans="12:18" x14ac:dyDescent="0.25">
      <c r="L211" s="496"/>
      <c r="M211" s="496"/>
      <c r="N211" s="496"/>
      <c r="O211" s="496"/>
      <c r="P211" s="496"/>
      <c r="Q211" s="496"/>
      <c r="R211" s="496"/>
    </row>
    <row r="212" spans="12:18" x14ac:dyDescent="0.25">
      <c r="L212" s="496"/>
      <c r="M212" s="496"/>
      <c r="N212" s="496"/>
      <c r="O212" s="496"/>
      <c r="P212" s="496"/>
      <c r="Q212" s="496"/>
      <c r="R212" s="496"/>
    </row>
    <row r="213" spans="12:18" x14ac:dyDescent="0.25">
      <c r="L213" s="496"/>
      <c r="M213" s="496"/>
      <c r="N213" s="496"/>
      <c r="O213" s="496"/>
      <c r="P213" s="496"/>
      <c r="Q213" s="496"/>
      <c r="R213" s="496"/>
    </row>
    <row r="214" spans="12:18" x14ac:dyDescent="0.25">
      <c r="L214" s="496"/>
      <c r="M214" s="496"/>
      <c r="N214" s="496"/>
      <c r="O214" s="496"/>
      <c r="P214" s="496"/>
      <c r="Q214" s="496"/>
      <c r="R214" s="496"/>
    </row>
    <row r="215" spans="12:18" x14ac:dyDescent="0.25">
      <c r="L215" s="496"/>
      <c r="M215" s="496"/>
      <c r="N215" s="496"/>
      <c r="O215" s="496"/>
      <c r="P215" s="496"/>
      <c r="Q215" s="496"/>
      <c r="R215" s="496"/>
    </row>
    <row r="216" spans="12:18" x14ac:dyDescent="0.25">
      <c r="L216" s="496"/>
      <c r="M216" s="496"/>
      <c r="N216" s="496"/>
      <c r="O216" s="496"/>
      <c r="P216" s="496"/>
      <c r="Q216" s="496"/>
      <c r="R216" s="496"/>
    </row>
    <row r="217" spans="12:18" x14ac:dyDescent="0.25">
      <c r="L217" s="496"/>
      <c r="M217" s="496"/>
      <c r="N217" s="496"/>
      <c r="O217" s="496"/>
      <c r="P217" s="496"/>
      <c r="Q217" s="496"/>
      <c r="R217" s="496"/>
    </row>
    <row r="218" spans="12:18" x14ac:dyDescent="0.25">
      <c r="L218" s="496"/>
      <c r="M218" s="496"/>
      <c r="N218" s="496"/>
      <c r="O218" s="496"/>
      <c r="P218" s="496"/>
      <c r="Q218" s="496"/>
      <c r="R218" s="496"/>
    </row>
    <row r="219" spans="12:18" x14ac:dyDescent="0.25">
      <c r="L219" s="496"/>
      <c r="M219" s="496"/>
      <c r="N219" s="496"/>
      <c r="O219" s="496"/>
      <c r="P219" s="496"/>
      <c r="Q219" s="496"/>
      <c r="R219" s="496"/>
    </row>
    <row r="220" spans="12:18" x14ac:dyDescent="0.25">
      <c r="L220" s="496"/>
      <c r="M220" s="496"/>
      <c r="N220" s="496"/>
      <c r="O220" s="496"/>
      <c r="P220" s="496"/>
      <c r="Q220" s="496"/>
      <c r="R220" s="496"/>
    </row>
    <row r="221" spans="12:18" x14ac:dyDescent="0.25">
      <c r="L221" s="496"/>
      <c r="M221" s="496"/>
      <c r="N221" s="496"/>
      <c r="O221" s="496"/>
      <c r="P221" s="496"/>
      <c r="Q221" s="496"/>
      <c r="R221" s="496"/>
    </row>
    <row r="222" spans="12:18" x14ac:dyDescent="0.25">
      <c r="L222" s="496"/>
      <c r="M222" s="496"/>
      <c r="N222" s="496"/>
      <c r="O222" s="496"/>
      <c r="P222" s="496"/>
      <c r="Q222" s="496"/>
      <c r="R222" s="496"/>
    </row>
    <row r="223" spans="12:18" x14ac:dyDescent="0.25">
      <c r="L223" s="496"/>
      <c r="M223" s="496"/>
      <c r="N223" s="496"/>
      <c r="O223" s="496"/>
      <c r="P223" s="496"/>
      <c r="Q223" s="496"/>
      <c r="R223" s="496"/>
    </row>
    <row r="224" spans="12:18" x14ac:dyDescent="0.25">
      <c r="L224" s="496"/>
      <c r="M224" s="496"/>
      <c r="N224" s="496"/>
      <c r="O224" s="496"/>
      <c r="P224" s="496"/>
      <c r="Q224" s="496"/>
      <c r="R224" s="496"/>
    </row>
    <row r="225" spans="12:18" x14ac:dyDescent="0.25">
      <c r="L225" s="496"/>
      <c r="M225" s="496"/>
      <c r="N225" s="496"/>
      <c r="O225" s="496"/>
      <c r="P225" s="496"/>
      <c r="Q225" s="496"/>
      <c r="R225" s="496"/>
    </row>
    <row r="226" spans="12:18" x14ac:dyDescent="0.25">
      <c r="L226" s="496"/>
      <c r="M226" s="496"/>
      <c r="N226" s="496"/>
      <c r="O226" s="496"/>
      <c r="P226" s="496"/>
      <c r="Q226" s="496"/>
      <c r="R226" s="496"/>
    </row>
    <row r="227" spans="12:18" x14ac:dyDescent="0.25">
      <c r="L227" s="496"/>
      <c r="M227" s="496"/>
      <c r="N227" s="496"/>
      <c r="O227" s="496"/>
      <c r="P227" s="496"/>
      <c r="Q227" s="496"/>
      <c r="R227" s="496"/>
    </row>
    <row r="228" spans="12:18" x14ac:dyDescent="0.25">
      <c r="L228" s="496"/>
      <c r="M228" s="496"/>
      <c r="N228" s="496"/>
      <c r="O228" s="496"/>
      <c r="P228" s="496"/>
      <c r="Q228" s="496"/>
      <c r="R228" s="496"/>
    </row>
    <row r="229" spans="12:18" x14ac:dyDescent="0.25">
      <c r="L229" s="496"/>
      <c r="M229" s="496"/>
      <c r="N229" s="496"/>
      <c r="O229" s="496"/>
      <c r="P229" s="496"/>
      <c r="Q229" s="496"/>
      <c r="R229" s="496"/>
    </row>
    <row r="230" spans="12:18" x14ac:dyDescent="0.25">
      <c r="L230" s="496"/>
      <c r="M230" s="496"/>
      <c r="N230" s="496"/>
      <c r="O230" s="496"/>
      <c r="P230" s="496"/>
      <c r="Q230" s="496"/>
      <c r="R230" s="496"/>
    </row>
    <row r="231" spans="12:18" x14ac:dyDescent="0.25">
      <c r="L231" s="496"/>
      <c r="M231" s="496"/>
      <c r="N231" s="496"/>
      <c r="O231" s="496"/>
      <c r="P231" s="496"/>
      <c r="Q231" s="496"/>
      <c r="R231" s="496"/>
    </row>
    <row r="232" spans="12:18" x14ac:dyDescent="0.25">
      <c r="L232" s="496"/>
      <c r="M232" s="496"/>
      <c r="N232" s="496"/>
      <c r="O232" s="496"/>
      <c r="P232" s="496"/>
      <c r="Q232" s="496"/>
      <c r="R232" s="496"/>
    </row>
    <row r="233" spans="12:18" x14ac:dyDescent="0.25">
      <c r="L233" s="496"/>
      <c r="M233" s="496"/>
      <c r="N233" s="496"/>
      <c r="O233" s="496"/>
      <c r="P233" s="496"/>
      <c r="Q233" s="496"/>
      <c r="R233" s="496"/>
    </row>
    <row r="234" spans="12:18" x14ac:dyDescent="0.25">
      <c r="L234" s="496"/>
      <c r="M234" s="496"/>
      <c r="N234" s="496"/>
      <c r="O234" s="496"/>
      <c r="P234" s="496"/>
      <c r="Q234" s="496"/>
      <c r="R234" s="496"/>
    </row>
    <row r="235" spans="12:18" x14ac:dyDescent="0.25">
      <c r="L235" s="496"/>
      <c r="M235" s="496"/>
      <c r="N235" s="496"/>
      <c r="O235" s="496"/>
      <c r="P235" s="496"/>
      <c r="Q235" s="496"/>
      <c r="R235" s="496"/>
    </row>
    <row r="236" spans="12:18" x14ac:dyDescent="0.25">
      <c r="L236" s="496"/>
      <c r="M236" s="496"/>
      <c r="N236" s="496"/>
      <c r="O236" s="496"/>
      <c r="P236" s="496"/>
      <c r="Q236" s="496"/>
      <c r="R236" s="496"/>
    </row>
    <row r="237" spans="12:18" x14ac:dyDescent="0.25">
      <c r="L237" s="496"/>
      <c r="M237" s="496"/>
      <c r="N237" s="496"/>
      <c r="O237" s="496"/>
      <c r="P237" s="496"/>
      <c r="Q237" s="496"/>
      <c r="R237" s="496"/>
    </row>
    <row r="238" spans="12:18" x14ac:dyDescent="0.25">
      <c r="L238" s="496"/>
      <c r="M238" s="496"/>
      <c r="N238" s="496"/>
      <c r="O238" s="496"/>
      <c r="P238" s="496"/>
      <c r="Q238" s="496"/>
      <c r="R238" s="496"/>
    </row>
    <row r="239" spans="12:18" x14ac:dyDescent="0.25">
      <c r="L239" s="496"/>
      <c r="M239" s="496"/>
      <c r="N239" s="496"/>
      <c r="O239" s="496"/>
      <c r="P239" s="496"/>
      <c r="Q239" s="496"/>
      <c r="R239" s="496"/>
    </row>
    <row r="240" spans="12:18" x14ac:dyDescent="0.25">
      <c r="L240" s="496"/>
      <c r="M240" s="496"/>
      <c r="N240" s="496"/>
      <c r="O240" s="496"/>
      <c r="P240" s="496"/>
      <c r="Q240" s="496"/>
      <c r="R240" s="496"/>
    </row>
    <row r="241" spans="12:18" x14ac:dyDescent="0.25">
      <c r="L241" s="496"/>
      <c r="M241" s="496"/>
      <c r="N241" s="496"/>
      <c r="O241" s="496"/>
      <c r="P241" s="496"/>
      <c r="Q241" s="496"/>
      <c r="R241" s="496"/>
    </row>
    <row r="242" spans="12:18" x14ac:dyDescent="0.25">
      <c r="L242" s="496"/>
      <c r="M242" s="496"/>
      <c r="N242" s="496"/>
      <c r="O242" s="496"/>
      <c r="P242" s="496"/>
      <c r="Q242" s="496"/>
      <c r="R242" s="496"/>
    </row>
    <row r="243" spans="12:18" x14ac:dyDescent="0.25">
      <c r="L243" s="496"/>
      <c r="M243" s="496"/>
      <c r="N243" s="496"/>
      <c r="O243" s="496"/>
      <c r="P243" s="496"/>
      <c r="Q243" s="496"/>
      <c r="R243" s="496"/>
    </row>
    <row r="244" spans="12:18" x14ac:dyDescent="0.25">
      <c r="L244" s="496"/>
      <c r="M244" s="496"/>
      <c r="N244" s="496"/>
      <c r="O244" s="496"/>
      <c r="P244" s="496"/>
      <c r="Q244" s="496"/>
      <c r="R244" s="496"/>
    </row>
    <row r="245" spans="12:18" x14ac:dyDescent="0.25">
      <c r="L245" s="496"/>
      <c r="M245" s="496"/>
      <c r="N245" s="496"/>
      <c r="O245" s="496"/>
      <c r="P245" s="496"/>
      <c r="Q245" s="496"/>
      <c r="R245" s="496"/>
    </row>
    <row r="246" spans="12:18" x14ac:dyDescent="0.25">
      <c r="L246" s="496"/>
      <c r="M246" s="497"/>
      <c r="N246" s="496"/>
      <c r="O246" s="496"/>
      <c r="P246" s="496"/>
      <c r="Q246" s="496"/>
      <c r="R246" s="496"/>
    </row>
    <row r="247" spans="12:18" x14ac:dyDescent="0.25">
      <c r="L247" s="496"/>
      <c r="M247" s="496"/>
      <c r="N247" s="496"/>
      <c r="O247" s="496"/>
      <c r="P247" s="496"/>
      <c r="Q247" s="496"/>
      <c r="R247" s="496"/>
    </row>
    <row r="248" spans="12:18" x14ac:dyDescent="0.25">
      <c r="L248" s="496"/>
      <c r="M248" s="496"/>
      <c r="N248" s="496"/>
      <c r="O248" s="496"/>
      <c r="P248" s="496"/>
      <c r="Q248" s="496"/>
      <c r="R248" s="496"/>
    </row>
    <row r="249" spans="12:18" x14ac:dyDescent="0.25">
      <c r="L249" s="496"/>
      <c r="M249" s="496"/>
      <c r="N249" s="496"/>
      <c r="O249" s="496"/>
      <c r="P249" s="496"/>
      <c r="Q249" s="496"/>
      <c r="R249" s="496"/>
    </row>
    <row r="250" spans="12:18" x14ac:dyDescent="0.25">
      <c r="L250" s="496"/>
      <c r="M250" s="496"/>
      <c r="N250" s="496"/>
      <c r="O250" s="496"/>
      <c r="P250" s="496"/>
      <c r="Q250" s="496"/>
      <c r="R250" s="496"/>
    </row>
    <row r="251" spans="12:18" x14ac:dyDescent="0.25">
      <c r="L251" s="496"/>
      <c r="M251" s="496"/>
      <c r="N251" s="496"/>
      <c r="O251" s="496"/>
      <c r="P251" s="496"/>
      <c r="Q251" s="496"/>
      <c r="R251" s="496"/>
    </row>
    <row r="252" spans="12:18" x14ac:dyDescent="0.25">
      <c r="L252" s="496"/>
      <c r="M252" s="496"/>
      <c r="N252" s="496"/>
      <c r="O252" s="496"/>
      <c r="P252" s="496"/>
      <c r="Q252" s="496"/>
      <c r="R252" s="496"/>
    </row>
    <row r="253" spans="12:18" x14ac:dyDescent="0.25">
      <c r="L253" s="496"/>
      <c r="M253" s="496"/>
      <c r="N253" s="496"/>
      <c r="O253" s="496"/>
      <c r="P253" s="496"/>
      <c r="Q253" s="496"/>
      <c r="R253" s="496"/>
    </row>
    <row r="254" spans="12:18" x14ac:dyDescent="0.25">
      <c r="L254" s="496"/>
      <c r="M254" s="496"/>
      <c r="N254" s="496"/>
      <c r="O254" s="496"/>
      <c r="P254" s="496"/>
      <c r="Q254" s="496"/>
      <c r="R254" s="496"/>
    </row>
    <row r="255" spans="12:18" x14ac:dyDescent="0.25">
      <c r="L255" s="496"/>
      <c r="M255" s="496"/>
      <c r="N255" s="496"/>
      <c r="O255" s="496"/>
      <c r="P255" s="496"/>
      <c r="Q255" s="496"/>
      <c r="R255" s="496"/>
    </row>
    <row r="256" spans="12:18" x14ac:dyDescent="0.25">
      <c r="L256" s="496"/>
      <c r="M256" s="496"/>
      <c r="N256" s="496"/>
      <c r="O256" s="496"/>
      <c r="P256" s="496"/>
      <c r="Q256" s="496"/>
      <c r="R256" s="496"/>
    </row>
    <row r="257" spans="12:18" x14ac:dyDescent="0.25">
      <c r="L257" s="496"/>
      <c r="M257" s="496"/>
      <c r="N257" s="496"/>
      <c r="O257" s="496"/>
      <c r="P257" s="496"/>
      <c r="Q257" s="496"/>
      <c r="R257" s="496"/>
    </row>
    <row r="258" spans="12:18" x14ac:dyDescent="0.25">
      <c r="L258" s="496"/>
      <c r="M258" s="496"/>
      <c r="N258" s="496"/>
      <c r="O258" s="496"/>
      <c r="P258" s="496"/>
      <c r="Q258" s="496"/>
      <c r="R258" s="496"/>
    </row>
    <row r="259" spans="12:18" x14ac:dyDescent="0.25">
      <c r="L259" s="496"/>
      <c r="M259" s="496"/>
      <c r="N259" s="496"/>
      <c r="O259" s="496"/>
      <c r="P259" s="496"/>
      <c r="Q259" s="496"/>
      <c r="R259" s="496"/>
    </row>
    <row r="260" spans="12:18" x14ac:dyDescent="0.25">
      <c r="L260" s="496"/>
      <c r="M260" s="496"/>
      <c r="N260" s="496"/>
      <c r="O260" s="496"/>
      <c r="P260" s="496"/>
      <c r="Q260" s="496"/>
      <c r="R260" s="496"/>
    </row>
    <row r="261" spans="12:18" x14ac:dyDescent="0.25">
      <c r="L261" s="496"/>
      <c r="M261" s="496"/>
      <c r="N261" s="496"/>
      <c r="O261" s="496"/>
      <c r="P261" s="496"/>
      <c r="Q261" s="496"/>
      <c r="R261" s="496"/>
    </row>
    <row r="262" spans="12:18" x14ac:dyDescent="0.25">
      <c r="L262" s="496"/>
      <c r="M262" s="496"/>
      <c r="N262" s="496"/>
      <c r="O262" s="496"/>
      <c r="P262" s="496"/>
      <c r="Q262" s="496"/>
      <c r="R262" s="496"/>
    </row>
    <row r="263" spans="12:18" x14ac:dyDescent="0.25">
      <c r="L263" s="496"/>
      <c r="M263" s="496"/>
      <c r="N263" s="496"/>
      <c r="O263" s="496"/>
      <c r="P263" s="496"/>
      <c r="Q263" s="496"/>
      <c r="R263" s="496"/>
    </row>
    <row r="264" spans="12:18" x14ac:dyDescent="0.25">
      <c r="L264" s="496"/>
      <c r="M264" s="496"/>
      <c r="N264" s="496"/>
      <c r="O264" s="496"/>
      <c r="P264" s="496"/>
      <c r="Q264" s="496"/>
      <c r="R264" s="496"/>
    </row>
    <row r="265" spans="12:18" x14ac:dyDescent="0.25">
      <c r="L265" s="496"/>
      <c r="M265" s="496"/>
      <c r="N265" s="496"/>
      <c r="O265" s="496"/>
      <c r="P265" s="496"/>
      <c r="Q265" s="496"/>
      <c r="R265" s="496"/>
    </row>
    <row r="266" spans="12:18" x14ac:dyDescent="0.25">
      <c r="L266" s="496"/>
      <c r="M266" s="496"/>
      <c r="N266" s="496"/>
      <c r="O266" s="496"/>
      <c r="P266" s="496"/>
      <c r="Q266" s="496"/>
      <c r="R266" s="496"/>
    </row>
    <row r="267" spans="12:18" x14ac:dyDescent="0.25">
      <c r="L267" s="496"/>
      <c r="M267" s="496"/>
      <c r="N267" s="496"/>
      <c r="O267" s="496"/>
      <c r="P267" s="496"/>
      <c r="Q267" s="496"/>
      <c r="R267" s="496"/>
    </row>
    <row r="268" spans="12:18" x14ac:dyDescent="0.25">
      <c r="L268" s="496"/>
      <c r="M268" s="496"/>
      <c r="N268" s="496"/>
      <c r="O268" s="496"/>
      <c r="P268" s="496"/>
      <c r="Q268" s="496"/>
      <c r="R268" s="496"/>
    </row>
    <row r="269" spans="12:18" x14ac:dyDescent="0.25">
      <c r="L269" s="496"/>
      <c r="M269" s="496"/>
      <c r="N269" s="496"/>
      <c r="O269" s="496"/>
      <c r="P269" s="496"/>
      <c r="Q269" s="496"/>
      <c r="R269" s="496"/>
    </row>
    <row r="270" spans="12:18" x14ac:dyDescent="0.25">
      <c r="L270" s="496"/>
      <c r="M270" s="496"/>
      <c r="N270" s="496"/>
      <c r="O270" s="496"/>
      <c r="P270" s="496"/>
      <c r="Q270" s="496"/>
      <c r="R270" s="496"/>
    </row>
    <row r="271" spans="12:18" x14ac:dyDescent="0.25">
      <c r="L271" s="496"/>
      <c r="M271" s="496"/>
      <c r="N271" s="496"/>
      <c r="O271" s="496"/>
      <c r="P271" s="496"/>
      <c r="Q271" s="496"/>
      <c r="R271" s="496"/>
    </row>
    <row r="272" spans="12:18" x14ac:dyDescent="0.25">
      <c r="L272" s="496"/>
      <c r="M272" s="496"/>
      <c r="N272" s="496"/>
      <c r="O272" s="496"/>
      <c r="P272" s="496"/>
      <c r="Q272" s="496"/>
      <c r="R272" s="496"/>
    </row>
    <row r="273" spans="12:18" x14ac:dyDescent="0.25">
      <c r="L273" s="496"/>
      <c r="M273" s="496"/>
      <c r="N273" s="496"/>
      <c r="O273" s="496"/>
      <c r="P273" s="496"/>
      <c r="Q273" s="496"/>
      <c r="R273" s="496"/>
    </row>
    <row r="274" spans="12:18" x14ac:dyDescent="0.25">
      <c r="L274" s="496"/>
      <c r="M274" s="496"/>
      <c r="N274" s="496"/>
      <c r="O274" s="496"/>
      <c r="P274" s="496"/>
      <c r="Q274" s="496"/>
      <c r="R274" s="496"/>
    </row>
    <row r="275" spans="12:18" x14ac:dyDescent="0.25">
      <c r="L275" s="496"/>
      <c r="M275" s="496"/>
      <c r="N275" s="496"/>
      <c r="O275" s="496"/>
      <c r="P275" s="496"/>
      <c r="Q275" s="496"/>
      <c r="R275" s="496"/>
    </row>
    <row r="276" spans="12:18" x14ac:dyDescent="0.25">
      <c r="L276" s="496"/>
      <c r="M276" s="496"/>
      <c r="N276" s="496"/>
      <c r="O276" s="496"/>
      <c r="P276" s="496"/>
      <c r="Q276" s="496"/>
      <c r="R276" s="496"/>
    </row>
    <row r="277" spans="12:18" x14ac:dyDescent="0.25">
      <c r="L277" s="496"/>
      <c r="M277" s="496"/>
      <c r="N277" s="496"/>
      <c r="O277" s="496"/>
      <c r="P277" s="496"/>
      <c r="Q277" s="496"/>
      <c r="R277" s="496"/>
    </row>
    <row r="278" spans="12:18" x14ac:dyDescent="0.25">
      <c r="L278" s="496"/>
      <c r="M278" s="496"/>
      <c r="N278" s="496"/>
      <c r="O278" s="496"/>
      <c r="P278" s="496"/>
      <c r="Q278" s="496"/>
      <c r="R278" s="496"/>
    </row>
    <row r="279" spans="12:18" x14ac:dyDescent="0.25">
      <c r="L279" s="496"/>
      <c r="M279" s="496"/>
      <c r="N279" s="496"/>
      <c r="O279" s="496"/>
      <c r="P279" s="496"/>
      <c r="Q279" s="496"/>
      <c r="R279" s="496"/>
    </row>
    <row r="280" spans="12:18" x14ac:dyDescent="0.25">
      <c r="L280" s="496"/>
      <c r="M280" s="496"/>
      <c r="N280" s="496"/>
      <c r="O280" s="496"/>
      <c r="P280" s="496"/>
      <c r="Q280" s="496"/>
      <c r="R280" s="496"/>
    </row>
    <row r="281" spans="12:18" x14ac:dyDescent="0.25">
      <c r="L281" s="496"/>
      <c r="M281" s="496"/>
      <c r="N281" s="496"/>
      <c r="O281" s="496"/>
      <c r="P281" s="496"/>
      <c r="Q281" s="496"/>
      <c r="R281" s="496"/>
    </row>
    <row r="282" spans="12:18" x14ac:dyDescent="0.25">
      <c r="L282" s="496"/>
      <c r="M282" s="496"/>
      <c r="N282" s="496"/>
      <c r="O282" s="496"/>
      <c r="P282" s="496"/>
      <c r="Q282" s="496"/>
      <c r="R282" s="496"/>
    </row>
    <row r="283" spans="12:18" x14ac:dyDescent="0.25">
      <c r="L283" s="496"/>
      <c r="M283" s="496"/>
      <c r="N283" s="496"/>
      <c r="O283" s="496"/>
      <c r="P283" s="496"/>
      <c r="Q283" s="496"/>
      <c r="R283" s="496"/>
    </row>
    <row r="284" spans="12:18" x14ac:dyDescent="0.25">
      <c r="L284" s="496"/>
      <c r="M284" s="496"/>
      <c r="N284" s="496"/>
      <c r="O284" s="496"/>
      <c r="P284" s="496"/>
      <c r="Q284" s="496"/>
      <c r="R284" s="496"/>
    </row>
    <row r="285" spans="12:18" x14ac:dyDescent="0.25">
      <c r="L285" s="496"/>
      <c r="M285" s="496"/>
      <c r="N285" s="496"/>
      <c r="O285" s="496"/>
      <c r="P285" s="496"/>
      <c r="Q285" s="496"/>
      <c r="R285" s="496"/>
    </row>
    <row r="286" spans="12:18" x14ac:dyDescent="0.25">
      <c r="L286" s="496"/>
      <c r="M286" s="496"/>
      <c r="N286" s="496"/>
      <c r="O286" s="496"/>
      <c r="P286" s="496"/>
      <c r="Q286" s="496"/>
      <c r="R286" s="496"/>
    </row>
    <row r="287" spans="12:18" x14ac:dyDescent="0.25">
      <c r="L287" s="496"/>
      <c r="M287" s="496"/>
      <c r="N287" s="496"/>
      <c r="O287" s="496"/>
      <c r="P287" s="496"/>
      <c r="Q287" s="496"/>
      <c r="R287" s="496"/>
    </row>
    <row r="288" spans="12:18" x14ac:dyDescent="0.25">
      <c r="L288" s="496"/>
      <c r="M288" s="496"/>
      <c r="N288" s="496"/>
      <c r="O288" s="496"/>
      <c r="P288" s="496"/>
      <c r="Q288" s="496"/>
      <c r="R288" s="496"/>
    </row>
    <row r="289" spans="12:18" x14ac:dyDescent="0.25">
      <c r="L289" s="496"/>
      <c r="M289" s="496"/>
      <c r="N289" s="496"/>
      <c r="O289" s="496"/>
      <c r="P289" s="496"/>
      <c r="Q289" s="496"/>
      <c r="R289" s="496"/>
    </row>
    <row r="290" spans="12:18" x14ac:dyDescent="0.25">
      <c r="L290" s="496"/>
      <c r="M290" s="496"/>
      <c r="N290" s="496"/>
      <c r="O290" s="496"/>
      <c r="P290" s="496"/>
      <c r="Q290" s="496"/>
      <c r="R290" s="496"/>
    </row>
    <row r="291" spans="12:18" x14ac:dyDescent="0.25">
      <c r="L291" s="496"/>
      <c r="M291" s="496"/>
      <c r="N291" s="496"/>
      <c r="O291" s="496"/>
      <c r="P291" s="496"/>
      <c r="Q291" s="496"/>
      <c r="R291" s="496"/>
    </row>
    <row r="292" spans="12:18" x14ac:dyDescent="0.25">
      <c r="L292" s="496"/>
      <c r="M292" s="496"/>
      <c r="N292" s="496"/>
      <c r="O292" s="496"/>
      <c r="P292" s="496"/>
      <c r="Q292" s="496"/>
      <c r="R292" s="496"/>
    </row>
    <row r="293" spans="12:18" x14ac:dyDescent="0.25">
      <c r="L293" s="496"/>
      <c r="M293" s="496"/>
      <c r="N293" s="496"/>
      <c r="O293" s="496"/>
      <c r="P293" s="496"/>
      <c r="Q293" s="496"/>
      <c r="R293" s="496"/>
    </row>
    <row r="294" spans="12:18" x14ac:dyDescent="0.25">
      <c r="L294" s="496"/>
      <c r="M294" s="496"/>
      <c r="N294" s="496"/>
      <c r="O294" s="496"/>
      <c r="P294" s="496"/>
      <c r="Q294" s="496"/>
      <c r="R294" s="496"/>
    </row>
    <row r="295" spans="12:18" x14ac:dyDescent="0.25">
      <c r="L295" s="496"/>
      <c r="M295" s="496"/>
      <c r="N295" s="496"/>
      <c r="O295" s="496"/>
      <c r="P295" s="496"/>
      <c r="Q295" s="496"/>
      <c r="R295" s="496"/>
    </row>
    <row r="296" spans="12:18" x14ac:dyDescent="0.25">
      <c r="L296" s="496"/>
      <c r="M296" s="496"/>
      <c r="N296" s="496"/>
      <c r="O296" s="496"/>
      <c r="P296" s="496"/>
      <c r="Q296" s="496"/>
      <c r="R296" s="496"/>
    </row>
    <row r="297" spans="12:18" x14ac:dyDescent="0.25">
      <c r="L297" s="496"/>
      <c r="M297" s="496"/>
      <c r="N297" s="496"/>
      <c r="O297" s="496"/>
      <c r="P297" s="496"/>
      <c r="Q297" s="496"/>
      <c r="R297" s="496"/>
    </row>
    <row r="298" spans="12:18" x14ac:dyDescent="0.25">
      <c r="L298" s="496"/>
      <c r="M298" s="496"/>
      <c r="N298" s="496"/>
      <c r="O298" s="496"/>
      <c r="P298" s="496"/>
      <c r="Q298" s="496"/>
      <c r="R298" s="496"/>
    </row>
    <row r="299" spans="12:18" x14ac:dyDescent="0.25">
      <c r="L299" s="496"/>
      <c r="M299" s="496"/>
      <c r="N299" s="496"/>
      <c r="O299" s="496"/>
      <c r="P299" s="496"/>
      <c r="Q299" s="496"/>
      <c r="R299" s="496"/>
    </row>
    <row r="300" spans="12:18" x14ac:dyDescent="0.25">
      <c r="L300" s="496"/>
      <c r="M300" s="496"/>
      <c r="N300" s="496"/>
      <c r="O300" s="496"/>
      <c r="P300" s="496"/>
      <c r="Q300" s="496"/>
      <c r="R300" s="496"/>
    </row>
    <row r="301" spans="12:18" x14ac:dyDescent="0.25">
      <c r="L301" s="496"/>
      <c r="M301" s="496"/>
      <c r="N301" s="496"/>
      <c r="O301" s="496"/>
      <c r="P301" s="496"/>
      <c r="Q301" s="496"/>
      <c r="R301" s="496"/>
    </row>
    <row r="302" spans="12:18" x14ac:dyDescent="0.25">
      <c r="L302" s="496"/>
      <c r="M302" s="496"/>
      <c r="N302" s="496"/>
      <c r="O302" s="496"/>
      <c r="P302" s="496"/>
      <c r="Q302" s="496"/>
      <c r="R302" s="496"/>
    </row>
    <row r="303" spans="12:18" x14ac:dyDescent="0.25">
      <c r="L303" s="496"/>
      <c r="M303" s="496"/>
      <c r="N303" s="496"/>
      <c r="O303" s="496"/>
      <c r="P303" s="496"/>
      <c r="Q303" s="496"/>
      <c r="R303" s="496"/>
    </row>
    <row r="304" spans="12:18" x14ac:dyDescent="0.25">
      <c r="L304" s="496"/>
      <c r="M304" s="496"/>
      <c r="N304" s="496"/>
      <c r="O304" s="496"/>
      <c r="P304" s="496"/>
      <c r="Q304" s="496"/>
      <c r="R304" s="496"/>
    </row>
    <row r="305" spans="12:18" x14ac:dyDescent="0.25">
      <c r="L305" s="496"/>
      <c r="M305" s="496"/>
      <c r="N305" s="496"/>
      <c r="O305" s="496"/>
      <c r="P305" s="496"/>
      <c r="Q305" s="496"/>
      <c r="R305" s="496"/>
    </row>
    <row r="306" spans="12:18" x14ac:dyDescent="0.25">
      <c r="L306" s="496"/>
      <c r="M306" s="496"/>
      <c r="N306" s="496"/>
      <c r="O306" s="496"/>
      <c r="P306" s="496"/>
      <c r="Q306" s="496"/>
      <c r="R306" s="496"/>
    </row>
    <row r="307" spans="12:18" x14ac:dyDescent="0.25">
      <c r="L307" s="496"/>
      <c r="M307" s="496"/>
      <c r="N307" s="496"/>
      <c r="O307" s="496"/>
      <c r="P307" s="496"/>
      <c r="Q307" s="496"/>
      <c r="R307" s="496"/>
    </row>
    <row r="308" spans="12:18" x14ac:dyDescent="0.25">
      <c r="L308" s="496"/>
      <c r="M308" s="496"/>
      <c r="N308" s="496"/>
      <c r="O308" s="496"/>
      <c r="P308" s="496"/>
      <c r="Q308" s="496"/>
      <c r="R308" s="496"/>
    </row>
    <row r="309" spans="12:18" x14ac:dyDescent="0.25">
      <c r="L309" s="496"/>
      <c r="M309" s="496"/>
      <c r="N309" s="496"/>
      <c r="O309" s="496"/>
      <c r="P309" s="496"/>
      <c r="Q309" s="496"/>
      <c r="R309" s="496"/>
    </row>
    <row r="310" spans="12:18" x14ac:dyDescent="0.25">
      <c r="L310" s="496"/>
      <c r="M310" s="496"/>
      <c r="N310" s="496"/>
      <c r="O310" s="496"/>
      <c r="P310" s="496"/>
      <c r="Q310" s="496"/>
      <c r="R310" s="496"/>
    </row>
    <row r="311" spans="12:18" x14ac:dyDescent="0.25">
      <c r="L311" s="496"/>
      <c r="M311" s="497"/>
      <c r="N311" s="496"/>
      <c r="O311" s="496"/>
      <c r="P311" s="496"/>
      <c r="Q311" s="496"/>
      <c r="R311" s="496"/>
    </row>
    <row r="312" spans="12:18" x14ac:dyDescent="0.25">
      <c r="L312" s="496"/>
      <c r="M312" s="496"/>
      <c r="N312" s="496"/>
      <c r="O312" s="496"/>
      <c r="P312" s="496"/>
      <c r="Q312" s="496"/>
      <c r="R312" s="496"/>
    </row>
    <row r="313" spans="12:18" x14ac:dyDescent="0.25">
      <c r="L313" s="496"/>
      <c r="M313" s="496"/>
      <c r="N313" s="496"/>
      <c r="O313" s="496"/>
      <c r="P313" s="496"/>
      <c r="Q313" s="496"/>
      <c r="R313" s="496"/>
    </row>
    <row r="314" spans="12:18" x14ac:dyDescent="0.25">
      <c r="L314" s="496"/>
      <c r="M314" s="496"/>
      <c r="N314" s="496"/>
      <c r="O314" s="496"/>
      <c r="P314" s="496"/>
      <c r="Q314" s="496"/>
      <c r="R314" s="496"/>
    </row>
    <row r="315" spans="12:18" x14ac:dyDescent="0.25">
      <c r="L315" s="496"/>
      <c r="M315" s="496"/>
      <c r="N315" s="496"/>
      <c r="O315" s="496"/>
      <c r="P315" s="496"/>
      <c r="Q315" s="496"/>
      <c r="R315" s="496"/>
    </row>
    <row r="316" spans="12:18" x14ac:dyDescent="0.25">
      <c r="L316" s="496"/>
      <c r="M316" s="496"/>
      <c r="N316" s="496"/>
      <c r="O316" s="496"/>
      <c r="P316" s="496"/>
      <c r="Q316" s="496"/>
      <c r="R316" s="496"/>
    </row>
    <row r="317" spans="12:18" x14ac:dyDescent="0.25">
      <c r="L317" s="496"/>
      <c r="M317" s="496"/>
      <c r="N317" s="496"/>
      <c r="O317" s="496"/>
      <c r="P317" s="496"/>
      <c r="Q317" s="496"/>
      <c r="R317" s="496"/>
    </row>
    <row r="318" spans="12:18" x14ac:dyDescent="0.25">
      <c r="L318" s="496"/>
      <c r="M318" s="496"/>
      <c r="N318" s="496"/>
      <c r="O318" s="496"/>
      <c r="P318" s="496"/>
      <c r="Q318" s="496"/>
      <c r="R318" s="496"/>
    </row>
    <row r="319" spans="12:18" x14ac:dyDescent="0.25">
      <c r="L319" s="496"/>
      <c r="M319" s="496"/>
      <c r="N319" s="496"/>
      <c r="O319" s="496"/>
      <c r="P319" s="496"/>
      <c r="Q319" s="496"/>
      <c r="R319" s="496"/>
    </row>
    <row r="320" spans="12:18" x14ac:dyDescent="0.25">
      <c r="L320" s="496"/>
      <c r="M320" s="496"/>
      <c r="N320" s="496"/>
      <c r="O320" s="496"/>
      <c r="P320" s="496"/>
      <c r="Q320" s="496"/>
      <c r="R320" s="496"/>
    </row>
    <row r="321" spans="12:18" x14ac:dyDescent="0.25">
      <c r="L321" s="496"/>
      <c r="M321" s="496"/>
      <c r="N321" s="496"/>
      <c r="O321" s="496"/>
      <c r="P321" s="496"/>
      <c r="Q321" s="496"/>
      <c r="R321" s="496"/>
    </row>
    <row r="322" spans="12:18" x14ac:dyDescent="0.25">
      <c r="L322" s="496"/>
      <c r="M322" s="496"/>
      <c r="N322" s="496"/>
      <c r="O322" s="496"/>
      <c r="P322" s="496"/>
      <c r="Q322" s="496"/>
      <c r="R322" s="496"/>
    </row>
    <row r="323" spans="12:18" x14ac:dyDescent="0.25">
      <c r="L323" s="496"/>
      <c r="M323" s="496"/>
      <c r="N323" s="496"/>
      <c r="O323" s="496"/>
      <c r="P323" s="496"/>
      <c r="Q323" s="496"/>
      <c r="R323" s="496"/>
    </row>
    <row r="324" spans="12:18" x14ac:dyDescent="0.25">
      <c r="L324" s="496"/>
      <c r="M324" s="497"/>
      <c r="N324" s="496"/>
      <c r="O324" s="496"/>
      <c r="P324" s="496"/>
      <c r="Q324" s="496"/>
      <c r="R324" s="496"/>
    </row>
    <row r="325" spans="12:18" x14ac:dyDescent="0.25">
      <c r="L325" s="496"/>
      <c r="M325" s="496"/>
      <c r="N325" s="496"/>
      <c r="O325" s="496"/>
      <c r="P325" s="496"/>
      <c r="Q325" s="496"/>
      <c r="R325" s="496"/>
    </row>
    <row r="326" spans="12:18" x14ac:dyDescent="0.25">
      <c r="L326" s="496"/>
      <c r="M326" s="496"/>
      <c r="N326" s="496"/>
      <c r="O326" s="496"/>
      <c r="P326" s="496"/>
      <c r="Q326" s="496"/>
      <c r="R326" s="496"/>
    </row>
    <row r="327" spans="12:18" x14ac:dyDescent="0.25">
      <c r="L327" s="496"/>
      <c r="M327" s="496"/>
      <c r="N327" s="496"/>
      <c r="O327" s="496"/>
      <c r="P327" s="496"/>
      <c r="Q327" s="496"/>
      <c r="R327" s="496"/>
    </row>
    <row r="328" spans="12:18" x14ac:dyDescent="0.25">
      <c r="L328" s="496"/>
      <c r="M328" s="496"/>
      <c r="N328" s="496"/>
      <c r="O328" s="496"/>
      <c r="P328" s="496"/>
      <c r="Q328" s="496"/>
      <c r="R328" s="496"/>
    </row>
    <row r="336" spans="12:18" x14ac:dyDescent="0.25">
      <c r="L336" s="496"/>
      <c r="M336" s="496"/>
      <c r="N336" s="496"/>
      <c r="O336" s="496"/>
      <c r="P336" s="496"/>
      <c r="Q336" s="496"/>
    </row>
    <row r="337" spans="12:17" x14ac:dyDescent="0.25">
      <c r="L337" s="496"/>
      <c r="M337" s="496"/>
      <c r="N337" s="496"/>
      <c r="O337" s="496"/>
      <c r="P337" s="496"/>
      <c r="Q337" s="496"/>
    </row>
    <row r="338" spans="12:17" x14ac:dyDescent="0.25">
      <c r="L338" s="496"/>
      <c r="M338" s="496"/>
      <c r="N338" s="496"/>
      <c r="O338" s="496"/>
      <c r="P338" s="496"/>
      <c r="Q338" s="496"/>
    </row>
    <row r="339" spans="12:17" x14ac:dyDescent="0.25">
      <c r="L339" s="496"/>
      <c r="M339" s="496"/>
      <c r="N339" s="496"/>
      <c r="O339" s="496"/>
      <c r="P339" s="496"/>
      <c r="Q339" s="496"/>
    </row>
    <row r="340" spans="12:17" x14ac:dyDescent="0.25">
      <c r="L340" s="496"/>
      <c r="M340" s="496"/>
      <c r="N340" s="496"/>
      <c r="O340" s="496"/>
      <c r="P340" s="496"/>
      <c r="Q340" s="496"/>
    </row>
    <row r="341" spans="12:17" x14ac:dyDescent="0.25">
      <c r="L341" s="496"/>
      <c r="M341" s="496"/>
      <c r="N341" s="496"/>
      <c r="O341" s="496"/>
      <c r="P341" s="496"/>
      <c r="Q341" s="496"/>
    </row>
    <row r="342" spans="12:17" x14ac:dyDescent="0.25">
      <c r="L342" s="496"/>
      <c r="M342" s="496"/>
      <c r="N342" s="496"/>
      <c r="O342" s="496"/>
      <c r="P342" s="496"/>
      <c r="Q342" s="496"/>
    </row>
    <row r="343" spans="12:17" x14ac:dyDescent="0.25">
      <c r="L343" s="496"/>
      <c r="M343" s="496"/>
      <c r="N343" s="496"/>
      <c r="O343" s="496"/>
      <c r="P343" s="496"/>
      <c r="Q343" s="496"/>
    </row>
    <row r="344" spans="12:17" x14ac:dyDescent="0.25">
      <c r="L344" s="496"/>
      <c r="M344" s="496"/>
      <c r="N344" s="496"/>
      <c r="O344" s="496"/>
      <c r="P344" s="496"/>
      <c r="Q344" s="496"/>
    </row>
    <row r="345" spans="12:17" x14ac:dyDescent="0.25">
      <c r="L345" s="496"/>
      <c r="M345" s="496"/>
      <c r="N345" s="496"/>
      <c r="O345" s="496"/>
      <c r="P345" s="496"/>
      <c r="Q345" s="496"/>
    </row>
    <row r="346" spans="12:17" x14ac:dyDescent="0.25">
      <c r="L346" s="496"/>
      <c r="M346" s="496"/>
      <c r="N346" s="496"/>
      <c r="O346" s="496"/>
      <c r="P346" s="496"/>
      <c r="Q346" s="496"/>
    </row>
    <row r="347" spans="12:17" x14ac:dyDescent="0.25">
      <c r="L347" s="496"/>
      <c r="M347" s="496"/>
      <c r="N347" s="496"/>
      <c r="O347" s="496"/>
      <c r="P347" s="496"/>
      <c r="Q347" s="496"/>
    </row>
    <row r="348" spans="12:17" x14ac:dyDescent="0.25">
      <c r="L348" s="496"/>
      <c r="M348" s="496"/>
      <c r="N348" s="496"/>
      <c r="O348" s="496"/>
      <c r="P348" s="496"/>
      <c r="Q348" s="496"/>
    </row>
    <row r="349" spans="12:17" x14ac:dyDescent="0.25">
      <c r="L349" s="496"/>
      <c r="M349" s="496"/>
      <c r="N349" s="496"/>
      <c r="O349" s="496"/>
      <c r="P349" s="496"/>
      <c r="Q349" s="496"/>
    </row>
    <row r="350" spans="12:17" x14ac:dyDescent="0.25">
      <c r="L350" s="496"/>
      <c r="M350" s="496"/>
      <c r="N350" s="496"/>
      <c r="O350" s="496"/>
      <c r="P350" s="496"/>
      <c r="Q350" s="496"/>
    </row>
    <row r="351" spans="12:17" x14ac:dyDescent="0.25">
      <c r="L351" s="496"/>
      <c r="M351" s="496"/>
      <c r="N351" s="496"/>
      <c r="O351" s="496"/>
      <c r="P351" s="496"/>
      <c r="Q351" s="496"/>
    </row>
    <row r="352" spans="12:17" x14ac:dyDescent="0.25">
      <c r="L352" s="496"/>
      <c r="M352" s="496"/>
      <c r="N352" s="496"/>
      <c r="O352" s="496"/>
      <c r="P352" s="496"/>
      <c r="Q352" s="496"/>
    </row>
    <row r="353" spans="12:17" x14ac:dyDescent="0.25">
      <c r="L353" s="496"/>
      <c r="M353" s="496"/>
      <c r="N353" s="496"/>
      <c r="O353" s="496"/>
      <c r="P353" s="496"/>
      <c r="Q353" s="496"/>
    </row>
    <row r="354" spans="12:17" x14ac:dyDescent="0.25">
      <c r="L354" s="496"/>
      <c r="M354" s="496"/>
      <c r="N354" s="496"/>
      <c r="O354" s="496"/>
      <c r="P354" s="496"/>
      <c r="Q354" s="496"/>
    </row>
    <row r="355" spans="12:17" x14ac:dyDescent="0.25">
      <c r="L355" s="496"/>
      <c r="M355" s="496"/>
      <c r="N355" s="496"/>
      <c r="O355" s="496"/>
      <c r="P355" s="496"/>
      <c r="Q355" s="496"/>
    </row>
    <row r="356" spans="12:17" x14ac:dyDescent="0.25">
      <c r="L356" s="496"/>
      <c r="M356" s="496"/>
      <c r="N356" s="496"/>
      <c r="O356" s="496"/>
      <c r="P356" s="496"/>
      <c r="Q356" s="496"/>
    </row>
    <row r="357" spans="12:17" x14ac:dyDescent="0.25">
      <c r="L357" s="496"/>
      <c r="M357" s="496"/>
      <c r="N357" s="496"/>
      <c r="O357" s="496"/>
      <c r="P357" s="496"/>
      <c r="Q357" s="496"/>
    </row>
    <row r="358" spans="12:17" x14ac:dyDescent="0.25">
      <c r="L358" s="496"/>
      <c r="M358" s="496"/>
      <c r="N358" s="496"/>
      <c r="O358" s="496"/>
      <c r="P358" s="496"/>
      <c r="Q358" s="496"/>
    </row>
    <row r="359" spans="12:17" x14ac:dyDescent="0.25">
      <c r="L359" s="496"/>
      <c r="M359" s="496"/>
      <c r="N359" s="496"/>
      <c r="O359" s="496"/>
      <c r="P359" s="496"/>
      <c r="Q359" s="496"/>
    </row>
    <row r="360" spans="12:17" x14ac:dyDescent="0.25">
      <c r="L360" s="496"/>
      <c r="M360" s="496"/>
      <c r="N360" s="496"/>
      <c r="O360" s="496"/>
      <c r="P360" s="496"/>
      <c r="Q360" s="496"/>
    </row>
    <row r="361" spans="12:17" x14ac:dyDescent="0.25">
      <c r="L361" s="496"/>
      <c r="M361" s="496"/>
      <c r="N361" s="496"/>
      <c r="O361" s="496"/>
      <c r="P361" s="496"/>
      <c r="Q361" s="496"/>
    </row>
    <row r="362" spans="12:17" x14ac:dyDescent="0.25">
      <c r="L362" s="496"/>
      <c r="M362" s="496"/>
      <c r="N362" s="496"/>
      <c r="O362" s="496"/>
      <c r="P362" s="496"/>
      <c r="Q362" s="496"/>
    </row>
    <row r="363" spans="12:17" x14ac:dyDescent="0.25">
      <c r="L363" s="496"/>
      <c r="M363" s="496"/>
      <c r="N363" s="496"/>
      <c r="O363" s="496"/>
      <c r="P363" s="496"/>
      <c r="Q363" s="496"/>
    </row>
    <row r="364" spans="12:17" x14ac:dyDescent="0.25">
      <c r="L364" s="496"/>
      <c r="M364" s="496"/>
      <c r="N364" s="496"/>
      <c r="O364" s="496"/>
      <c r="P364" s="496"/>
      <c r="Q364" s="496"/>
    </row>
    <row r="365" spans="12:17" x14ac:dyDescent="0.25">
      <c r="L365" s="496"/>
      <c r="M365" s="496"/>
      <c r="N365" s="496"/>
      <c r="O365" s="496"/>
      <c r="P365" s="496"/>
      <c r="Q365" s="496"/>
    </row>
    <row r="366" spans="12:17" x14ac:dyDescent="0.25">
      <c r="L366" s="496"/>
      <c r="M366" s="496"/>
      <c r="N366" s="496"/>
      <c r="O366" s="496"/>
      <c r="P366" s="496"/>
      <c r="Q366" s="496"/>
    </row>
    <row r="367" spans="12:17" x14ac:dyDescent="0.25">
      <c r="L367" s="496"/>
      <c r="M367" s="496"/>
      <c r="N367" s="496"/>
      <c r="O367" s="496"/>
      <c r="P367" s="496"/>
      <c r="Q367" s="496"/>
    </row>
    <row r="368" spans="12:17" x14ac:dyDescent="0.25">
      <c r="L368" s="496"/>
      <c r="M368" s="496"/>
      <c r="N368" s="496"/>
      <c r="O368" s="496"/>
      <c r="P368" s="496"/>
      <c r="Q368" s="496"/>
    </row>
    <row r="369" spans="12:17" x14ac:dyDescent="0.25">
      <c r="L369" s="496"/>
      <c r="M369" s="496"/>
      <c r="N369" s="496"/>
      <c r="O369" s="496"/>
      <c r="P369" s="496"/>
      <c r="Q369" s="496"/>
    </row>
    <row r="370" spans="12:17" x14ac:dyDescent="0.25">
      <c r="L370" s="496"/>
      <c r="M370" s="496"/>
      <c r="N370" s="496"/>
      <c r="O370" s="496"/>
      <c r="P370" s="496"/>
      <c r="Q370" s="496"/>
    </row>
    <row r="371" spans="12:17" x14ac:dyDescent="0.25">
      <c r="L371" s="496"/>
      <c r="M371" s="496"/>
      <c r="N371" s="496"/>
      <c r="O371" s="496"/>
      <c r="P371" s="496"/>
      <c r="Q371" s="496"/>
    </row>
    <row r="372" spans="12:17" x14ac:dyDescent="0.25">
      <c r="L372" s="496"/>
      <c r="M372" s="496"/>
      <c r="N372" s="496"/>
      <c r="O372" s="496"/>
      <c r="P372" s="496"/>
      <c r="Q372" s="496"/>
    </row>
    <row r="373" spans="12:17" x14ac:dyDescent="0.25">
      <c r="L373" s="496"/>
      <c r="M373" s="496"/>
      <c r="N373" s="496"/>
      <c r="O373" s="496"/>
      <c r="P373" s="496"/>
      <c r="Q373" s="496"/>
    </row>
    <row r="374" spans="12:17" x14ac:dyDescent="0.25">
      <c r="L374" s="496"/>
      <c r="M374" s="496"/>
      <c r="N374" s="496"/>
      <c r="O374" s="496"/>
      <c r="P374" s="496"/>
      <c r="Q374" s="496"/>
    </row>
    <row r="375" spans="12:17" x14ac:dyDescent="0.25">
      <c r="L375" s="496"/>
      <c r="M375" s="496"/>
      <c r="N375" s="496"/>
      <c r="O375" s="496"/>
      <c r="P375" s="496"/>
      <c r="Q375" s="496"/>
    </row>
    <row r="376" spans="12:17" x14ac:dyDescent="0.25">
      <c r="L376" s="496"/>
      <c r="M376" s="496"/>
      <c r="N376" s="496"/>
      <c r="O376" s="496"/>
      <c r="P376" s="496"/>
      <c r="Q376" s="496"/>
    </row>
    <row r="377" spans="12:17" x14ac:dyDescent="0.25">
      <c r="L377" s="496"/>
      <c r="M377" s="496"/>
      <c r="N377" s="496"/>
      <c r="O377" s="496"/>
      <c r="P377" s="496"/>
      <c r="Q377" s="496"/>
    </row>
    <row r="378" spans="12:17" x14ac:dyDescent="0.25">
      <c r="L378" s="496"/>
      <c r="M378" s="496"/>
      <c r="N378" s="496"/>
      <c r="O378" s="496"/>
      <c r="P378" s="496"/>
      <c r="Q378" s="496"/>
    </row>
    <row r="379" spans="12:17" x14ac:dyDescent="0.25">
      <c r="L379" s="496"/>
      <c r="M379" s="496"/>
      <c r="N379" s="496"/>
      <c r="O379" s="496"/>
      <c r="P379" s="496"/>
      <c r="Q379" s="496"/>
    </row>
    <row r="380" spans="12:17" x14ac:dyDescent="0.25">
      <c r="L380" s="496"/>
      <c r="M380" s="496"/>
      <c r="N380" s="496"/>
      <c r="O380" s="496"/>
      <c r="P380" s="496"/>
      <c r="Q380" s="496"/>
    </row>
    <row r="381" spans="12:17" x14ac:dyDescent="0.25">
      <c r="L381" s="496"/>
      <c r="M381" s="496"/>
      <c r="N381" s="496"/>
      <c r="O381" s="496"/>
      <c r="P381" s="496"/>
      <c r="Q381" s="496"/>
    </row>
    <row r="382" spans="12:17" x14ac:dyDescent="0.25">
      <c r="L382" s="496"/>
      <c r="M382" s="496"/>
      <c r="N382" s="496"/>
      <c r="O382" s="496"/>
      <c r="P382" s="496"/>
      <c r="Q382" s="496"/>
    </row>
    <row r="383" spans="12:17" x14ac:dyDescent="0.25">
      <c r="L383" s="496"/>
      <c r="M383" s="496"/>
      <c r="N383" s="496"/>
      <c r="O383" s="496"/>
      <c r="P383" s="496"/>
      <c r="Q383" s="496"/>
    </row>
    <row r="384" spans="12:17" x14ac:dyDescent="0.25">
      <c r="L384" s="496"/>
      <c r="M384" s="496"/>
      <c r="N384" s="496"/>
      <c r="O384" s="496"/>
      <c r="P384" s="496"/>
      <c r="Q384" s="496"/>
    </row>
    <row r="385" spans="12:17" x14ac:dyDescent="0.25">
      <c r="L385" s="496"/>
      <c r="M385" s="496"/>
      <c r="N385" s="496"/>
      <c r="O385" s="496"/>
      <c r="P385" s="496"/>
      <c r="Q385" s="496"/>
    </row>
    <row r="386" spans="12:17" x14ac:dyDescent="0.25">
      <c r="L386" s="496"/>
      <c r="M386" s="496"/>
      <c r="N386" s="496"/>
      <c r="O386" s="496"/>
      <c r="P386" s="496"/>
      <c r="Q386" s="496"/>
    </row>
    <row r="387" spans="12:17" x14ac:dyDescent="0.25">
      <c r="L387" s="496"/>
      <c r="M387" s="496"/>
      <c r="N387" s="496"/>
      <c r="O387" s="496"/>
      <c r="P387" s="496"/>
      <c r="Q387" s="496"/>
    </row>
    <row r="388" spans="12:17" x14ac:dyDescent="0.25">
      <c r="L388" s="496"/>
      <c r="M388" s="496"/>
      <c r="N388" s="496"/>
      <c r="O388" s="496"/>
      <c r="P388" s="496"/>
      <c r="Q388" s="496"/>
    </row>
    <row r="389" spans="12:17" x14ac:dyDescent="0.25">
      <c r="L389" s="496"/>
      <c r="M389" s="496"/>
      <c r="N389" s="496"/>
      <c r="O389" s="496"/>
      <c r="P389" s="496"/>
      <c r="Q389" s="496"/>
    </row>
    <row r="390" spans="12:17" x14ac:dyDescent="0.25">
      <c r="L390" s="496"/>
      <c r="M390" s="496"/>
      <c r="N390" s="496"/>
      <c r="O390" s="496"/>
      <c r="P390" s="496"/>
      <c r="Q390" s="496"/>
    </row>
    <row r="391" spans="12:17" x14ac:dyDescent="0.25">
      <c r="L391" s="496"/>
      <c r="M391" s="496"/>
      <c r="N391" s="496"/>
      <c r="O391" s="496"/>
      <c r="P391" s="496"/>
      <c r="Q391" s="496"/>
    </row>
    <row r="392" spans="12:17" x14ac:dyDescent="0.25">
      <c r="L392" s="496"/>
      <c r="M392" s="496"/>
      <c r="N392" s="496"/>
      <c r="O392" s="496"/>
      <c r="P392" s="496"/>
      <c r="Q392" s="496"/>
    </row>
    <row r="393" spans="12:17" x14ac:dyDescent="0.25">
      <c r="L393" s="496"/>
      <c r="M393" s="496"/>
      <c r="N393" s="496"/>
      <c r="O393" s="496"/>
      <c r="P393" s="496"/>
      <c r="Q393" s="496"/>
    </row>
    <row r="394" spans="12:17" x14ac:dyDescent="0.25">
      <c r="L394" s="496"/>
      <c r="M394" s="496"/>
      <c r="N394" s="496"/>
      <c r="O394" s="496"/>
      <c r="P394" s="496"/>
      <c r="Q394" s="496"/>
    </row>
    <row r="395" spans="12:17" x14ac:dyDescent="0.25">
      <c r="L395" s="496"/>
      <c r="M395" s="496"/>
      <c r="N395" s="496"/>
      <c r="O395" s="496"/>
      <c r="P395" s="496"/>
      <c r="Q395" s="496"/>
    </row>
    <row r="396" spans="12:17" x14ac:dyDescent="0.25">
      <c r="L396" s="496"/>
      <c r="M396" s="496"/>
      <c r="N396" s="496"/>
      <c r="O396" s="496"/>
      <c r="P396" s="496"/>
      <c r="Q396" s="496"/>
    </row>
    <row r="397" spans="12:17" x14ac:dyDescent="0.25">
      <c r="L397" s="496"/>
      <c r="M397" s="496"/>
      <c r="N397" s="496"/>
      <c r="O397" s="496"/>
      <c r="P397" s="496"/>
      <c r="Q397" s="496"/>
    </row>
    <row r="398" spans="12:17" x14ac:dyDescent="0.25">
      <c r="L398" s="496"/>
      <c r="M398" s="496"/>
      <c r="N398" s="496"/>
      <c r="O398" s="496"/>
      <c r="P398" s="496"/>
      <c r="Q398" s="496"/>
    </row>
    <row r="399" spans="12:17" x14ac:dyDescent="0.25">
      <c r="L399" s="496"/>
      <c r="M399" s="496"/>
      <c r="N399" s="496"/>
      <c r="O399" s="496"/>
      <c r="P399" s="496"/>
      <c r="Q399" s="496"/>
    </row>
    <row r="400" spans="12:17" x14ac:dyDescent="0.25">
      <c r="L400" s="496"/>
      <c r="M400" s="496"/>
      <c r="N400" s="496"/>
      <c r="O400" s="496"/>
      <c r="P400" s="496"/>
      <c r="Q400" s="496"/>
    </row>
    <row r="401" spans="12:17" x14ac:dyDescent="0.25">
      <c r="L401" s="496"/>
      <c r="M401" s="496"/>
      <c r="N401" s="496"/>
      <c r="O401" s="496"/>
      <c r="P401" s="496"/>
      <c r="Q401" s="496"/>
    </row>
    <row r="402" spans="12:17" x14ac:dyDescent="0.25">
      <c r="L402" s="496"/>
      <c r="M402" s="496"/>
      <c r="N402" s="496"/>
      <c r="O402" s="496"/>
      <c r="P402" s="496"/>
      <c r="Q402" s="496"/>
    </row>
    <row r="403" spans="12:17" x14ac:dyDescent="0.25">
      <c r="L403" s="496"/>
      <c r="M403" s="496"/>
      <c r="N403" s="496"/>
      <c r="O403" s="496"/>
      <c r="P403" s="496"/>
      <c r="Q403" s="496"/>
    </row>
    <row r="404" spans="12:17" x14ac:dyDescent="0.25">
      <c r="L404" s="496"/>
      <c r="M404" s="496"/>
      <c r="N404" s="496"/>
      <c r="O404" s="496"/>
      <c r="P404" s="496"/>
      <c r="Q404" s="496"/>
    </row>
    <row r="405" spans="12:17" x14ac:dyDescent="0.25">
      <c r="L405" s="496"/>
      <c r="M405" s="496"/>
      <c r="N405" s="496"/>
      <c r="O405" s="496"/>
      <c r="P405" s="496"/>
      <c r="Q405" s="496"/>
    </row>
    <row r="406" spans="12:17" x14ac:dyDescent="0.25">
      <c r="L406" s="496"/>
      <c r="M406" s="496"/>
      <c r="N406" s="496"/>
      <c r="O406" s="496"/>
      <c r="P406" s="496"/>
      <c r="Q406" s="496"/>
    </row>
    <row r="407" spans="12:17" x14ac:dyDescent="0.25">
      <c r="L407" s="496"/>
      <c r="M407" s="496"/>
      <c r="N407" s="496"/>
      <c r="O407" s="496"/>
      <c r="P407" s="496"/>
      <c r="Q407" s="496"/>
    </row>
    <row r="408" spans="12:17" x14ac:dyDescent="0.25">
      <c r="L408" s="496"/>
      <c r="M408" s="496"/>
      <c r="N408" s="496"/>
      <c r="O408" s="496"/>
      <c r="P408" s="496"/>
      <c r="Q408" s="496"/>
    </row>
    <row r="409" spans="12:17" x14ac:dyDescent="0.25">
      <c r="L409" s="496"/>
      <c r="M409" s="496"/>
      <c r="N409" s="496"/>
      <c r="O409" s="496"/>
      <c r="P409" s="496"/>
      <c r="Q409" s="496"/>
    </row>
    <row r="410" spans="12:17" x14ac:dyDescent="0.25">
      <c r="L410" s="496"/>
      <c r="M410" s="496"/>
      <c r="N410" s="496"/>
      <c r="O410" s="496"/>
      <c r="P410" s="496"/>
      <c r="Q410" s="496"/>
    </row>
    <row r="411" spans="12:17" x14ac:dyDescent="0.25">
      <c r="L411" s="496"/>
      <c r="M411" s="496"/>
      <c r="N411" s="496"/>
      <c r="O411" s="496"/>
      <c r="P411" s="496"/>
      <c r="Q411" s="496"/>
    </row>
    <row r="412" spans="12:17" x14ac:dyDescent="0.25">
      <c r="L412" s="496"/>
      <c r="M412" s="496"/>
      <c r="N412" s="496"/>
      <c r="O412" s="496"/>
      <c r="P412" s="496"/>
      <c r="Q412" s="496"/>
    </row>
    <row r="413" spans="12:17" x14ac:dyDescent="0.25">
      <c r="L413" s="496"/>
      <c r="M413" s="496"/>
      <c r="N413" s="496"/>
      <c r="O413" s="496"/>
      <c r="P413" s="496"/>
      <c r="Q413" s="496"/>
    </row>
    <row r="414" spans="12:17" x14ac:dyDescent="0.25">
      <c r="L414" s="496"/>
      <c r="M414" s="496"/>
      <c r="N414" s="496"/>
      <c r="O414" s="496"/>
      <c r="P414" s="496"/>
      <c r="Q414" s="496"/>
    </row>
    <row r="415" spans="12:17" x14ac:dyDescent="0.25">
      <c r="L415" s="496"/>
      <c r="M415" s="496"/>
      <c r="N415" s="496"/>
      <c r="O415" s="496"/>
      <c r="P415" s="496"/>
      <c r="Q415" s="496"/>
    </row>
    <row r="416" spans="12:17" x14ac:dyDescent="0.25">
      <c r="L416" s="496"/>
      <c r="M416" s="496"/>
      <c r="N416" s="496"/>
      <c r="O416" s="496"/>
      <c r="P416" s="496"/>
      <c r="Q416" s="496"/>
    </row>
    <row r="417" spans="12:17" x14ac:dyDescent="0.25">
      <c r="L417" s="496"/>
      <c r="M417" s="496"/>
      <c r="N417" s="496"/>
      <c r="O417" s="496"/>
      <c r="P417" s="496"/>
      <c r="Q417" s="496"/>
    </row>
    <row r="418" spans="12:17" x14ac:dyDescent="0.25">
      <c r="L418" s="496"/>
      <c r="M418" s="496"/>
      <c r="N418" s="496"/>
      <c r="O418" s="496"/>
      <c r="P418" s="496"/>
      <c r="Q418" s="496"/>
    </row>
    <row r="419" spans="12:17" x14ac:dyDescent="0.25">
      <c r="L419" s="496"/>
      <c r="M419" s="496"/>
      <c r="N419" s="496"/>
      <c r="O419" s="496"/>
      <c r="P419" s="496"/>
      <c r="Q419" s="496"/>
    </row>
    <row r="420" spans="12:17" x14ac:dyDescent="0.25">
      <c r="L420" s="496"/>
      <c r="M420" s="496"/>
      <c r="N420" s="496"/>
      <c r="O420" s="496"/>
      <c r="P420" s="496"/>
      <c r="Q420" s="496"/>
    </row>
    <row r="421" spans="12:17" x14ac:dyDescent="0.25">
      <c r="L421" s="496"/>
      <c r="M421" s="496"/>
      <c r="N421" s="496"/>
      <c r="O421" s="496"/>
      <c r="P421" s="496"/>
      <c r="Q421" s="496"/>
    </row>
    <row r="422" spans="12:17" x14ac:dyDescent="0.25">
      <c r="L422" s="496"/>
      <c r="M422" s="496"/>
      <c r="N422" s="496"/>
      <c r="O422" s="496"/>
      <c r="P422" s="496"/>
      <c r="Q422" s="496"/>
    </row>
    <row r="423" spans="12:17" x14ac:dyDescent="0.25">
      <c r="L423" s="496"/>
      <c r="M423" s="496"/>
      <c r="N423" s="496"/>
      <c r="O423" s="496"/>
      <c r="P423" s="496"/>
      <c r="Q423" s="496"/>
    </row>
    <row r="424" spans="12:17" x14ac:dyDescent="0.25">
      <c r="L424" s="496"/>
      <c r="M424" s="496"/>
      <c r="N424" s="496"/>
      <c r="O424" s="496"/>
      <c r="P424" s="496"/>
      <c r="Q424" s="496"/>
    </row>
    <row r="425" spans="12:17" x14ac:dyDescent="0.25">
      <c r="L425" s="496"/>
      <c r="M425" s="496"/>
      <c r="N425" s="496"/>
      <c r="O425" s="496"/>
      <c r="P425" s="496"/>
      <c r="Q425" s="496"/>
    </row>
    <row r="426" spans="12:17" x14ac:dyDescent="0.25">
      <c r="L426" s="496"/>
      <c r="M426" s="496"/>
      <c r="N426" s="496"/>
      <c r="O426" s="496"/>
      <c r="P426" s="496"/>
      <c r="Q426" s="496"/>
    </row>
    <row r="427" spans="12:17" x14ac:dyDescent="0.25">
      <c r="L427" s="496"/>
      <c r="M427" s="496"/>
      <c r="N427" s="496"/>
      <c r="O427" s="496"/>
      <c r="P427" s="496"/>
      <c r="Q427" s="496"/>
    </row>
    <row r="428" spans="12:17" x14ac:dyDescent="0.25">
      <c r="L428" s="496"/>
      <c r="M428" s="496"/>
      <c r="N428" s="496"/>
      <c r="O428" s="496"/>
      <c r="P428" s="496"/>
      <c r="Q428" s="496"/>
    </row>
    <row r="429" spans="12:17" x14ac:dyDescent="0.25">
      <c r="L429" s="496"/>
      <c r="M429" s="496"/>
      <c r="N429" s="496"/>
      <c r="O429" s="496"/>
      <c r="P429" s="496"/>
      <c r="Q429" s="496"/>
    </row>
    <row r="430" spans="12:17" x14ac:dyDescent="0.25">
      <c r="L430" s="496"/>
      <c r="M430" s="496"/>
      <c r="N430" s="496"/>
      <c r="O430" s="496"/>
      <c r="P430" s="496"/>
      <c r="Q430" s="496"/>
    </row>
    <row r="431" spans="12:17" x14ac:dyDescent="0.25">
      <c r="L431" s="496"/>
      <c r="M431" s="496"/>
      <c r="N431" s="496"/>
      <c r="O431" s="496"/>
      <c r="P431" s="496"/>
      <c r="Q431" s="496"/>
    </row>
    <row r="432" spans="12:17" x14ac:dyDescent="0.25">
      <c r="L432" s="496"/>
      <c r="M432" s="496"/>
      <c r="N432" s="496"/>
      <c r="O432" s="496"/>
      <c r="P432" s="496"/>
      <c r="Q432" s="496"/>
    </row>
    <row r="433" spans="12:17" x14ac:dyDescent="0.25">
      <c r="L433" s="496"/>
      <c r="M433" s="496"/>
      <c r="N433" s="496"/>
      <c r="O433" s="496"/>
      <c r="P433" s="496"/>
      <c r="Q433" s="496"/>
    </row>
    <row r="434" spans="12:17" x14ac:dyDescent="0.25">
      <c r="L434" s="496"/>
      <c r="M434" s="496"/>
      <c r="N434" s="496"/>
      <c r="O434" s="496"/>
      <c r="P434" s="496"/>
      <c r="Q434" s="496"/>
    </row>
    <row r="435" spans="12:17" x14ac:dyDescent="0.25">
      <c r="L435" s="496"/>
      <c r="M435" s="496"/>
      <c r="N435" s="496"/>
      <c r="O435" s="496"/>
      <c r="P435" s="496"/>
      <c r="Q435" s="496"/>
    </row>
    <row r="436" spans="12:17" x14ac:dyDescent="0.25">
      <c r="L436" s="496"/>
      <c r="M436" s="496"/>
      <c r="N436" s="496"/>
      <c r="O436" s="496"/>
      <c r="P436" s="496"/>
      <c r="Q436" s="496"/>
    </row>
    <row r="437" spans="12:17" x14ac:dyDescent="0.25">
      <c r="L437" s="496"/>
      <c r="M437" s="496"/>
      <c r="N437" s="496"/>
      <c r="O437" s="496"/>
      <c r="P437" s="496"/>
      <c r="Q437" s="496"/>
    </row>
    <row r="438" spans="12:17" x14ac:dyDescent="0.25">
      <c r="L438" s="496"/>
      <c r="M438" s="496"/>
      <c r="N438" s="496"/>
      <c r="O438" s="496"/>
      <c r="P438" s="496"/>
      <c r="Q438" s="496"/>
    </row>
    <row r="439" spans="12:17" x14ac:dyDescent="0.25">
      <c r="L439" s="496"/>
      <c r="M439" s="496"/>
      <c r="N439" s="496"/>
      <c r="O439" s="496"/>
      <c r="P439" s="496"/>
      <c r="Q439" s="496"/>
    </row>
    <row r="440" spans="12:17" x14ac:dyDescent="0.25">
      <c r="L440" s="496"/>
      <c r="M440" s="496"/>
      <c r="N440" s="496"/>
      <c r="O440" s="496"/>
      <c r="P440" s="496"/>
      <c r="Q440" s="496"/>
    </row>
    <row r="441" spans="12:17" x14ac:dyDescent="0.25">
      <c r="L441" s="496"/>
      <c r="M441" s="496"/>
      <c r="N441" s="496"/>
      <c r="O441" s="496"/>
      <c r="P441" s="496"/>
      <c r="Q441" s="496"/>
    </row>
    <row r="442" spans="12:17" x14ac:dyDescent="0.25">
      <c r="L442" s="496"/>
      <c r="M442" s="496"/>
      <c r="N442" s="496"/>
      <c r="O442" s="496"/>
      <c r="P442" s="496"/>
      <c r="Q442" s="496"/>
    </row>
    <row r="443" spans="12:17" x14ac:dyDescent="0.25">
      <c r="L443" s="496"/>
      <c r="M443" s="496"/>
      <c r="N443" s="496"/>
      <c r="O443" s="496"/>
      <c r="P443" s="496"/>
      <c r="Q443" s="496"/>
    </row>
    <row r="444" spans="12:17" x14ac:dyDescent="0.25">
      <c r="L444" s="496"/>
      <c r="M444" s="496"/>
      <c r="N444" s="496"/>
      <c r="O444" s="496"/>
      <c r="P444" s="496"/>
      <c r="Q444" s="496"/>
    </row>
    <row r="445" spans="12:17" x14ac:dyDescent="0.25">
      <c r="L445" s="496"/>
      <c r="M445" s="496"/>
      <c r="N445" s="496"/>
      <c r="O445" s="496"/>
      <c r="P445" s="496"/>
      <c r="Q445" s="496"/>
    </row>
    <row r="446" spans="12:17" x14ac:dyDescent="0.25">
      <c r="L446" s="496"/>
      <c r="M446" s="496"/>
      <c r="N446" s="496"/>
      <c r="O446" s="496"/>
      <c r="P446" s="496"/>
      <c r="Q446" s="496"/>
    </row>
    <row r="447" spans="12:17" x14ac:dyDescent="0.25">
      <c r="L447" s="496"/>
      <c r="M447" s="496"/>
      <c r="N447" s="496"/>
      <c r="O447" s="496"/>
      <c r="P447" s="496"/>
      <c r="Q447" s="496"/>
    </row>
    <row r="448" spans="12:17" x14ac:dyDescent="0.25">
      <c r="L448" s="496"/>
      <c r="M448" s="496"/>
      <c r="N448" s="496"/>
      <c r="O448" s="496"/>
      <c r="P448" s="496"/>
      <c r="Q448" s="496"/>
    </row>
    <row r="449" spans="12:17" x14ac:dyDescent="0.25">
      <c r="L449" s="496"/>
      <c r="M449" s="496"/>
      <c r="N449" s="496"/>
      <c r="O449" s="496"/>
      <c r="P449" s="496"/>
      <c r="Q449" s="496"/>
    </row>
    <row r="450" spans="12:17" x14ac:dyDescent="0.25">
      <c r="L450" s="496"/>
      <c r="M450" s="496"/>
      <c r="N450" s="496"/>
      <c r="O450" s="496"/>
      <c r="P450" s="496"/>
      <c r="Q450" s="496"/>
    </row>
    <row r="451" spans="12:17" x14ac:dyDescent="0.25">
      <c r="L451" s="496"/>
      <c r="M451" s="496"/>
      <c r="N451" s="496"/>
      <c r="O451" s="496"/>
      <c r="P451" s="496"/>
      <c r="Q451" s="496"/>
    </row>
    <row r="452" spans="12:17" x14ac:dyDescent="0.25">
      <c r="L452" s="496"/>
      <c r="M452" s="496"/>
      <c r="N452" s="496"/>
      <c r="O452" s="496"/>
      <c r="P452" s="496"/>
      <c r="Q452" s="496"/>
    </row>
    <row r="453" spans="12:17" x14ac:dyDescent="0.25">
      <c r="L453" s="496"/>
      <c r="M453" s="496"/>
      <c r="N453" s="496"/>
      <c r="O453" s="496"/>
      <c r="P453" s="496"/>
      <c r="Q453" s="496"/>
    </row>
    <row r="454" spans="12:17" x14ac:dyDescent="0.25">
      <c r="L454" s="496"/>
      <c r="M454" s="496"/>
      <c r="N454" s="496"/>
      <c r="O454" s="496"/>
      <c r="P454" s="496"/>
      <c r="Q454" s="496"/>
    </row>
    <row r="455" spans="12:17" x14ac:dyDescent="0.25">
      <c r="L455" s="496"/>
      <c r="M455" s="496"/>
      <c r="N455" s="496"/>
      <c r="O455" s="496"/>
      <c r="P455" s="496"/>
      <c r="Q455" s="496"/>
    </row>
    <row r="456" spans="12:17" x14ac:dyDescent="0.25">
      <c r="L456" s="496"/>
      <c r="M456" s="496"/>
      <c r="N456" s="496"/>
      <c r="O456" s="496"/>
      <c r="P456" s="496"/>
      <c r="Q456" s="496"/>
    </row>
    <row r="457" spans="12:17" x14ac:dyDescent="0.25">
      <c r="L457" s="496"/>
      <c r="M457" s="496"/>
      <c r="N457" s="496"/>
      <c r="O457" s="496"/>
      <c r="P457" s="496"/>
      <c r="Q457" s="496"/>
    </row>
    <row r="458" spans="12:17" x14ac:dyDescent="0.25">
      <c r="L458" s="496"/>
      <c r="M458" s="496"/>
      <c r="N458" s="496"/>
      <c r="O458" s="496"/>
      <c r="P458" s="496"/>
      <c r="Q458" s="496"/>
    </row>
    <row r="459" spans="12:17" x14ac:dyDescent="0.25">
      <c r="L459" s="496"/>
      <c r="M459" s="496"/>
      <c r="N459" s="496"/>
      <c r="O459" s="496"/>
      <c r="P459" s="496"/>
      <c r="Q459" s="496"/>
    </row>
    <row r="460" spans="12:17" x14ac:dyDescent="0.25">
      <c r="L460" s="496"/>
      <c r="M460" s="496"/>
      <c r="N460" s="496"/>
      <c r="O460" s="496"/>
      <c r="P460" s="496"/>
      <c r="Q460" s="496"/>
    </row>
    <row r="461" spans="12:17" x14ac:dyDescent="0.25">
      <c r="L461" s="496"/>
      <c r="M461" s="496"/>
      <c r="N461" s="496"/>
      <c r="O461" s="496"/>
      <c r="P461" s="496"/>
      <c r="Q461" s="496"/>
    </row>
    <row r="462" spans="12:17" x14ac:dyDescent="0.25">
      <c r="L462" s="496"/>
      <c r="M462" s="496"/>
      <c r="N462" s="496"/>
      <c r="O462" s="496"/>
      <c r="P462" s="496"/>
      <c r="Q462" s="496"/>
    </row>
    <row r="463" spans="12:17" x14ac:dyDescent="0.25">
      <c r="L463" s="496"/>
      <c r="M463" s="496"/>
      <c r="N463" s="496"/>
      <c r="O463" s="496"/>
      <c r="P463" s="496"/>
      <c r="Q463" s="496"/>
    </row>
    <row r="464" spans="12:17" x14ac:dyDescent="0.25">
      <c r="L464" s="496"/>
      <c r="M464" s="496"/>
      <c r="N464" s="496"/>
      <c r="O464" s="496"/>
      <c r="P464" s="496"/>
      <c r="Q464" s="496"/>
    </row>
    <row r="465" spans="12:17" x14ac:dyDescent="0.25">
      <c r="L465" s="496"/>
      <c r="M465" s="496"/>
      <c r="N465" s="496"/>
      <c r="O465" s="496"/>
      <c r="P465" s="496"/>
      <c r="Q465" s="496"/>
    </row>
    <row r="466" spans="12:17" x14ac:dyDescent="0.25">
      <c r="L466" s="496"/>
      <c r="M466" s="496"/>
      <c r="N466" s="496"/>
      <c r="O466" s="496"/>
      <c r="P466" s="496"/>
      <c r="Q466" s="496"/>
    </row>
    <row r="467" spans="12:17" x14ac:dyDescent="0.25">
      <c r="L467" s="496"/>
      <c r="M467" s="496"/>
      <c r="N467" s="496"/>
      <c r="O467" s="496"/>
      <c r="P467" s="496"/>
      <c r="Q467" s="496"/>
    </row>
    <row r="468" spans="12:17" x14ac:dyDescent="0.25">
      <c r="L468" s="496"/>
      <c r="M468" s="496"/>
      <c r="N468" s="496"/>
      <c r="O468" s="496"/>
      <c r="P468" s="496"/>
      <c r="Q468" s="496"/>
    </row>
    <row r="469" spans="12:17" x14ac:dyDescent="0.25">
      <c r="L469" s="496"/>
      <c r="M469" s="496"/>
      <c r="N469" s="496"/>
      <c r="O469" s="496"/>
      <c r="P469" s="496"/>
      <c r="Q469" s="496"/>
    </row>
    <row r="470" spans="12:17" x14ac:dyDescent="0.25">
      <c r="L470" s="496"/>
      <c r="M470" s="496"/>
      <c r="N470" s="496"/>
      <c r="O470" s="496"/>
      <c r="P470" s="496"/>
      <c r="Q470" s="496"/>
    </row>
    <row r="471" spans="12:17" x14ac:dyDescent="0.25">
      <c r="L471" s="496"/>
      <c r="M471" s="496"/>
      <c r="N471" s="496"/>
      <c r="O471" s="496"/>
      <c r="P471" s="496"/>
      <c r="Q471" s="496"/>
    </row>
    <row r="472" spans="12:17" x14ac:dyDescent="0.25">
      <c r="L472" s="496"/>
      <c r="M472" s="496"/>
      <c r="N472" s="496"/>
      <c r="O472" s="496"/>
      <c r="P472" s="496"/>
      <c r="Q472" s="496"/>
    </row>
    <row r="473" spans="12:17" x14ac:dyDescent="0.25">
      <c r="L473" s="496"/>
      <c r="M473" s="496"/>
      <c r="N473" s="496"/>
      <c r="O473" s="496"/>
      <c r="P473" s="496"/>
      <c r="Q473" s="496"/>
    </row>
    <row r="474" spans="12:17" x14ac:dyDescent="0.25">
      <c r="L474" s="496"/>
      <c r="M474" s="496"/>
      <c r="N474" s="496"/>
      <c r="O474" s="496"/>
      <c r="P474" s="496"/>
      <c r="Q474" s="496"/>
    </row>
    <row r="475" spans="12:17" x14ac:dyDescent="0.25">
      <c r="L475" s="496"/>
      <c r="M475" s="496"/>
      <c r="N475" s="496"/>
      <c r="O475" s="496"/>
      <c r="P475" s="496"/>
      <c r="Q475" s="496"/>
    </row>
    <row r="476" spans="12:17" x14ac:dyDescent="0.25">
      <c r="L476" s="496"/>
      <c r="M476" s="496"/>
      <c r="N476" s="496"/>
      <c r="O476" s="496"/>
      <c r="P476" s="496"/>
      <c r="Q476" s="496"/>
    </row>
    <row r="477" spans="12:17" x14ac:dyDescent="0.25">
      <c r="L477" s="496"/>
      <c r="M477" s="496"/>
      <c r="N477" s="496"/>
      <c r="O477" s="496"/>
      <c r="P477" s="496"/>
      <c r="Q477" s="496"/>
    </row>
    <row r="478" spans="12:17" x14ac:dyDescent="0.25">
      <c r="L478" s="496"/>
      <c r="M478" s="496"/>
      <c r="N478" s="496"/>
      <c r="O478" s="496"/>
      <c r="P478" s="496"/>
      <c r="Q478" s="496"/>
    </row>
    <row r="479" spans="12:17" x14ac:dyDescent="0.25">
      <c r="L479" s="496"/>
      <c r="M479" s="496"/>
      <c r="N479" s="496"/>
      <c r="O479" s="496"/>
      <c r="P479" s="496"/>
      <c r="Q479" s="496"/>
    </row>
    <row r="480" spans="12:17" x14ac:dyDescent="0.25">
      <c r="L480" s="496"/>
      <c r="M480" s="496"/>
      <c r="N480" s="496"/>
      <c r="O480" s="496"/>
      <c r="P480" s="496"/>
      <c r="Q480" s="496"/>
    </row>
    <row r="481" spans="12:17" x14ac:dyDescent="0.25">
      <c r="L481" s="496"/>
      <c r="M481" s="496"/>
      <c r="N481" s="496"/>
      <c r="O481" s="496"/>
      <c r="P481" s="496"/>
      <c r="Q481" s="496"/>
    </row>
    <row r="482" spans="12:17" x14ac:dyDescent="0.25">
      <c r="L482" s="496"/>
      <c r="M482" s="496"/>
      <c r="N482" s="496"/>
      <c r="O482" s="496"/>
      <c r="P482" s="496"/>
      <c r="Q482" s="496"/>
    </row>
    <row r="483" spans="12:17" x14ac:dyDescent="0.25">
      <c r="L483" s="496"/>
      <c r="M483" s="496"/>
      <c r="N483" s="496"/>
      <c r="O483" s="496"/>
      <c r="P483" s="496"/>
      <c r="Q483" s="496"/>
    </row>
    <row r="484" spans="12:17" x14ac:dyDescent="0.25">
      <c r="L484" s="496"/>
      <c r="M484" s="496"/>
      <c r="N484" s="496"/>
      <c r="O484" s="496"/>
      <c r="P484" s="496"/>
      <c r="Q484" s="496"/>
    </row>
    <row r="485" spans="12:17" x14ac:dyDescent="0.25">
      <c r="L485" s="496"/>
      <c r="M485" s="496"/>
      <c r="N485" s="496"/>
      <c r="O485" s="496"/>
      <c r="P485" s="496"/>
      <c r="Q485" s="496"/>
    </row>
    <row r="486" spans="12:17" x14ac:dyDescent="0.25">
      <c r="L486" s="496"/>
      <c r="M486" s="496"/>
      <c r="N486" s="496"/>
      <c r="O486" s="496"/>
      <c r="P486" s="496"/>
      <c r="Q486" s="496"/>
    </row>
    <row r="487" spans="12:17" x14ac:dyDescent="0.25">
      <c r="L487" s="496"/>
      <c r="M487" s="496"/>
      <c r="N487" s="496"/>
      <c r="O487" s="496"/>
      <c r="P487" s="496"/>
      <c r="Q487" s="496"/>
    </row>
    <row r="488" spans="12:17" x14ac:dyDescent="0.25">
      <c r="L488" s="496"/>
      <c r="M488" s="496"/>
      <c r="N488" s="496"/>
      <c r="O488" s="496"/>
      <c r="P488" s="496"/>
      <c r="Q488" s="496"/>
    </row>
    <row r="489" spans="12:17" x14ac:dyDescent="0.25">
      <c r="L489" s="496"/>
      <c r="M489" s="496"/>
      <c r="N489" s="496"/>
      <c r="O489" s="496"/>
      <c r="P489" s="496"/>
      <c r="Q489" s="496"/>
    </row>
    <row r="490" spans="12:17" x14ac:dyDescent="0.25">
      <c r="L490" s="496"/>
      <c r="M490" s="496"/>
      <c r="N490" s="496"/>
      <c r="O490" s="496"/>
      <c r="P490" s="496"/>
      <c r="Q490" s="496"/>
    </row>
    <row r="491" spans="12:17" x14ac:dyDescent="0.25">
      <c r="L491" s="496"/>
      <c r="M491" s="496"/>
      <c r="N491" s="496"/>
      <c r="O491" s="496"/>
      <c r="P491" s="496"/>
      <c r="Q491" s="496"/>
    </row>
    <row r="492" spans="12:17" x14ac:dyDescent="0.25">
      <c r="L492" s="496"/>
      <c r="M492" s="496"/>
      <c r="N492" s="496"/>
      <c r="O492" s="496"/>
      <c r="P492" s="496"/>
      <c r="Q492" s="496"/>
    </row>
    <row r="493" spans="12:17" x14ac:dyDescent="0.25">
      <c r="L493" s="496"/>
      <c r="M493" s="496"/>
      <c r="N493" s="496"/>
      <c r="O493" s="496"/>
      <c r="P493" s="496"/>
      <c r="Q493" s="496"/>
    </row>
    <row r="494" spans="12:17" x14ac:dyDescent="0.25">
      <c r="L494" s="496"/>
      <c r="M494" s="496"/>
      <c r="N494" s="496"/>
      <c r="O494" s="496"/>
      <c r="P494" s="496"/>
      <c r="Q494" s="496"/>
    </row>
    <row r="495" spans="12:17" x14ac:dyDescent="0.25">
      <c r="L495" s="496"/>
      <c r="M495" s="496"/>
      <c r="N495" s="496"/>
      <c r="O495" s="496"/>
      <c r="P495" s="496"/>
      <c r="Q495" s="496"/>
    </row>
    <row r="496" spans="12:17" x14ac:dyDescent="0.25">
      <c r="L496" s="496"/>
      <c r="M496" s="496"/>
      <c r="N496" s="496"/>
      <c r="O496" s="496"/>
      <c r="P496" s="496"/>
      <c r="Q496" s="496"/>
    </row>
    <row r="497" spans="12:17" x14ac:dyDescent="0.25">
      <c r="L497" s="496"/>
      <c r="M497" s="496"/>
      <c r="N497" s="496"/>
      <c r="O497" s="496"/>
      <c r="P497" s="496"/>
      <c r="Q497" s="496"/>
    </row>
    <row r="498" spans="12:17" x14ac:dyDescent="0.25">
      <c r="L498" s="496"/>
      <c r="M498" s="496"/>
      <c r="N498" s="496"/>
      <c r="O498" s="496"/>
      <c r="P498" s="496"/>
      <c r="Q498" s="496"/>
    </row>
    <row r="499" spans="12:17" x14ac:dyDescent="0.25">
      <c r="L499" s="496"/>
      <c r="M499" s="496"/>
      <c r="N499" s="496"/>
      <c r="O499" s="496"/>
      <c r="P499" s="496"/>
      <c r="Q499" s="496"/>
    </row>
    <row r="500" spans="12:17" x14ac:dyDescent="0.25">
      <c r="L500" s="496"/>
      <c r="M500" s="496"/>
      <c r="N500" s="496"/>
      <c r="O500" s="496"/>
      <c r="P500" s="496"/>
      <c r="Q500" s="496"/>
    </row>
    <row r="501" spans="12:17" x14ac:dyDescent="0.25">
      <c r="L501" s="496"/>
      <c r="M501" s="496"/>
      <c r="N501" s="496"/>
      <c r="O501" s="496"/>
      <c r="P501" s="496"/>
      <c r="Q501" s="496"/>
    </row>
    <row r="502" spans="12:17" x14ac:dyDescent="0.25">
      <c r="L502" s="496"/>
      <c r="M502" s="496"/>
      <c r="N502" s="496"/>
      <c r="O502" s="496"/>
      <c r="P502" s="496"/>
      <c r="Q502" s="496"/>
    </row>
    <row r="503" spans="12:17" x14ac:dyDescent="0.25">
      <c r="L503" s="496"/>
      <c r="M503" s="496"/>
      <c r="N503" s="496"/>
      <c r="O503" s="496"/>
      <c r="P503" s="496"/>
      <c r="Q503" s="496"/>
    </row>
    <row r="504" spans="12:17" x14ac:dyDescent="0.25">
      <c r="L504" s="496"/>
      <c r="M504" s="496"/>
      <c r="N504" s="496"/>
      <c r="O504" s="496"/>
      <c r="P504" s="496"/>
      <c r="Q504" s="496"/>
    </row>
    <row r="505" spans="12:17" x14ac:dyDescent="0.25">
      <c r="L505" s="496"/>
      <c r="M505" s="496"/>
      <c r="N505" s="496"/>
      <c r="O505" s="496"/>
      <c r="P505" s="496"/>
      <c r="Q505" s="496"/>
    </row>
    <row r="506" spans="12:17" x14ac:dyDescent="0.25">
      <c r="L506" s="496"/>
      <c r="M506" s="496"/>
      <c r="N506" s="496"/>
      <c r="O506" s="496"/>
      <c r="P506" s="496"/>
      <c r="Q506" s="496"/>
    </row>
    <row r="507" spans="12:17" x14ac:dyDescent="0.25">
      <c r="L507" s="496"/>
      <c r="M507" s="496"/>
      <c r="N507" s="496"/>
      <c r="O507" s="496"/>
      <c r="P507" s="496"/>
      <c r="Q507" s="496"/>
    </row>
    <row r="508" spans="12:17" x14ac:dyDescent="0.25">
      <c r="L508" s="496"/>
      <c r="M508" s="496"/>
      <c r="N508" s="496"/>
      <c r="O508" s="496"/>
      <c r="P508" s="496"/>
      <c r="Q508" s="496"/>
    </row>
    <row r="509" spans="12:17" x14ac:dyDescent="0.25">
      <c r="L509" s="496"/>
      <c r="M509" s="496"/>
      <c r="N509" s="496"/>
      <c r="O509" s="496"/>
      <c r="P509" s="496"/>
      <c r="Q509" s="496"/>
    </row>
    <row r="510" spans="12:17" x14ac:dyDescent="0.25">
      <c r="L510" s="496"/>
      <c r="M510" s="496"/>
      <c r="N510" s="496"/>
      <c r="O510" s="496"/>
      <c r="P510" s="496"/>
      <c r="Q510" s="496"/>
    </row>
    <row r="511" spans="12:17" x14ac:dyDescent="0.25">
      <c r="L511" s="496"/>
      <c r="M511" s="496"/>
      <c r="N511" s="496"/>
      <c r="O511" s="496"/>
      <c r="P511" s="496"/>
      <c r="Q511" s="496"/>
    </row>
    <row r="512" spans="12:17" x14ac:dyDescent="0.25">
      <c r="L512" s="496"/>
      <c r="M512" s="496"/>
      <c r="N512" s="496"/>
      <c r="O512" s="496"/>
      <c r="P512" s="496"/>
      <c r="Q512" s="496"/>
    </row>
    <row r="513" spans="12:17" x14ac:dyDescent="0.25">
      <c r="L513" s="496"/>
      <c r="M513" s="496"/>
      <c r="N513" s="496"/>
      <c r="O513" s="496"/>
      <c r="P513" s="496"/>
      <c r="Q513" s="496"/>
    </row>
    <row r="514" spans="12:17" x14ac:dyDescent="0.25">
      <c r="L514" s="496"/>
      <c r="M514" s="496"/>
      <c r="N514" s="496"/>
      <c r="O514" s="496"/>
      <c r="P514" s="496"/>
      <c r="Q514" s="496"/>
    </row>
    <row r="515" spans="12:17" x14ac:dyDescent="0.25">
      <c r="L515" s="496"/>
      <c r="M515" s="496"/>
      <c r="N515" s="496"/>
      <c r="O515" s="496"/>
      <c r="P515" s="496"/>
      <c r="Q515" s="496"/>
    </row>
    <row r="516" spans="12:17" x14ac:dyDescent="0.25">
      <c r="L516" s="496"/>
      <c r="M516" s="496"/>
      <c r="N516" s="496"/>
      <c r="O516" s="496"/>
      <c r="P516" s="496"/>
      <c r="Q516" s="496"/>
    </row>
    <row r="517" spans="12:17" x14ac:dyDescent="0.25">
      <c r="L517" s="496"/>
      <c r="M517" s="496"/>
      <c r="N517" s="496"/>
      <c r="O517" s="496"/>
      <c r="P517" s="496"/>
      <c r="Q517" s="496"/>
    </row>
    <row r="518" spans="12:17" x14ac:dyDescent="0.25">
      <c r="L518" s="496"/>
      <c r="M518" s="496"/>
      <c r="N518" s="496"/>
      <c r="O518" s="496"/>
      <c r="P518" s="496"/>
      <c r="Q518" s="496"/>
    </row>
    <row r="519" spans="12:17" x14ac:dyDescent="0.25">
      <c r="L519" s="496"/>
      <c r="M519" s="496"/>
      <c r="N519" s="496"/>
      <c r="O519" s="496"/>
      <c r="P519" s="496"/>
      <c r="Q519" s="496"/>
    </row>
    <row r="520" spans="12:17" x14ac:dyDescent="0.25">
      <c r="L520" s="496"/>
      <c r="M520" s="496"/>
      <c r="N520" s="496"/>
      <c r="O520" s="496"/>
      <c r="P520" s="496"/>
      <c r="Q520" s="496"/>
    </row>
    <row r="521" spans="12:17" x14ac:dyDescent="0.25">
      <c r="L521" s="496"/>
      <c r="M521" s="496"/>
      <c r="N521" s="496"/>
      <c r="O521" s="496"/>
      <c r="P521" s="496"/>
      <c r="Q521" s="496"/>
    </row>
    <row r="522" spans="12:17" x14ac:dyDescent="0.25">
      <c r="L522" s="496"/>
      <c r="M522" s="496"/>
      <c r="N522" s="496"/>
      <c r="O522" s="496"/>
      <c r="P522" s="496"/>
      <c r="Q522" s="496"/>
    </row>
    <row r="523" spans="12:17" x14ac:dyDescent="0.25">
      <c r="L523" s="496"/>
      <c r="M523" s="496"/>
      <c r="N523" s="496"/>
      <c r="O523" s="496"/>
      <c r="P523" s="496"/>
      <c r="Q523" s="496"/>
    </row>
    <row r="524" spans="12:17" x14ac:dyDescent="0.25">
      <c r="L524" s="496"/>
      <c r="M524" s="496"/>
      <c r="N524" s="496"/>
      <c r="O524" s="496"/>
      <c r="P524" s="496"/>
      <c r="Q524" s="496"/>
    </row>
    <row r="525" spans="12:17" x14ac:dyDescent="0.25">
      <c r="L525" s="496"/>
      <c r="M525" s="496"/>
      <c r="N525" s="496"/>
      <c r="O525" s="496"/>
      <c r="P525" s="496"/>
      <c r="Q525" s="496"/>
    </row>
    <row r="526" spans="12:17" x14ac:dyDescent="0.25">
      <c r="L526" s="496"/>
      <c r="M526" s="496"/>
      <c r="N526" s="496"/>
      <c r="O526" s="496"/>
      <c r="P526" s="496"/>
      <c r="Q526" s="496"/>
    </row>
    <row r="527" spans="12:17" x14ac:dyDescent="0.25">
      <c r="L527" s="496"/>
      <c r="M527" s="496"/>
      <c r="N527" s="496"/>
      <c r="O527" s="496"/>
      <c r="P527" s="496"/>
      <c r="Q527" s="496"/>
    </row>
    <row r="528" spans="12:17" x14ac:dyDescent="0.25">
      <c r="L528" s="496"/>
      <c r="M528" s="496"/>
      <c r="N528" s="496"/>
      <c r="O528" s="496"/>
      <c r="P528" s="496"/>
      <c r="Q528" s="496"/>
    </row>
    <row r="529" spans="12:17" x14ac:dyDescent="0.25">
      <c r="L529" s="496"/>
      <c r="M529" s="496"/>
      <c r="N529" s="496"/>
      <c r="O529" s="496"/>
      <c r="P529" s="496"/>
      <c r="Q529" s="496"/>
    </row>
    <row r="530" spans="12:17" x14ac:dyDescent="0.25">
      <c r="L530" s="496"/>
      <c r="M530" s="496"/>
      <c r="N530" s="496"/>
      <c r="O530" s="496"/>
      <c r="P530" s="496"/>
      <c r="Q530" s="496"/>
    </row>
    <row r="531" spans="12:17" x14ac:dyDescent="0.25">
      <c r="L531" s="496"/>
      <c r="M531" s="496"/>
      <c r="N531" s="496"/>
      <c r="O531" s="496"/>
      <c r="P531" s="496"/>
      <c r="Q531" s="496"/>
    </row>
    <row r="532" spans="12:17" x14ac:dyDescent="0.25">
      <c r="L532" s="496"/>
      <c r="M532" s="496"/>
      <c r="N532" s="496"/>
      <c r="O532" s="496"/>
      <c r="P532" s="496"/>
      <c r="Q532" s="496"/>
    </row>
    <row r="533" spans="12:17" x14ac:dyDescent="0.25">
      <c r="L533" s="496"/>
      <c r="M533" s="496"/>
      <c r="N533" s="496"/>
      <c r="O533" s="496"/>
      <c r="P533" s="496"/>
      <c r="Q533" s="496"/>
    </row>
    <row r="534" spans="12:17" x14ac:dyDescent="0.25">
      <c r="L534" s="496"/>
      <c r="M534" s="496"/>
      <c r="N534" s="496"/>
      <c r="O534" s="496"/>
      <c r="P534" s="496"/>
      <c r="Q534" s="496"/>
    </row>
    <row r="535" spans="12:17" x14ac:dyDescent="0.25">
      <c r="L535" s="496"/>
      <c r="M535" s="496"/>
      <c r="N535" s="496"/>
      <c r="O535" s="496"/>
      <c r="P535" s="496"/>
      <c r="Q535" s="496"/>
    </row>
    <row r="536" spans="12:17" x14ac:dyDescent="0.25">
      <c r="L536" s="496"/>
      <c r="M536" s="496"/>
      <c r="N536" s="496"/>
      <c r="O536" s="496"/>
      <c r="P536" s="496"/>
      <c r="Q536" s="496"/>
    </row>
    <row r="537" spans="12:17" x14ac:dyDescent="0.25">
      <c r="L537" s="496"/>
      <c r="M537" s="496"/>
      <c r="N537" s="496"/>
      <c r="O537" s="496"/>
      <c r="P537" s="496"/>
      <c r="Q537" s="496"/>
    </row>
    <row r="538" spans="12:17" x14ac:dyDescent="0.25">
      <c r="L538" s="496"/>
      <c r="M538" s="496"/>
      <c r="N538" s="496"/>
      <c r="O538" s="496"/>
      <c r="P538" s="496"/>
      <c r="Q538" s="496"/>
    </row>
    <row r="539" spans="12:17" x14ac:dyDescent="0.25">
      <c r="L539" s="496"/>
      <c r="M539" s="496"/>
      <c r="N539" s="496"/>
      <c r="O539" s="496"/>
      <c r="P539" s="496"/>
      <c r="Q539" s="496"/>
    </row>
    <row r="540" spans="12:17" x14ac:dyDescent="0.25">
      <c r="L540" s="496"/>
      <c r="M540" s="496"/>
      <c r="N540" s="496"/>
      <c r="O540" s="496"/>
      <c r="P540" s="496"/>
      <c r="Q540" s="496"/>
    </row>
    <row r="541" spans="12:17" x14ac:dyDescent="0.25">
      <c r="L541" s="496"/>
      <c r="M541" s="496"/>
      <c r="N541" s="496"/>
      <c r="O541" s="496"/>
      <c r="P541" s="496"/>
      <c r="Q541" s="496"/>
    </row>
    <row r="542" spans="12:17" x14ac:dyDescent="0.25">
      <c r="L542" s="496"/>
      <c r="M542" s="496"/>
      <c r="N542" s="496"/>
      <c r="O542" s="496"/>
      <c r="P542" s="496"/>
      <c r="Q542" s="496"/>
    </row>
    <row r="543" spans="12:17" x14ac:dyDescent="0.25">
      <c r="L543" s="496"/>
      <c r="M543" s="496"/>
      <c r="N543" s="496"/>
      <c r="O543" s="496"/>
      <c r="P543" s="496"/>
      <c r="Q543" s="496"/>
    </row>
    <row r="544" spans="12:17" x14ac:dyDescent="0.25">
      <c r="L544" s="496"/>
      <c r="M544" s="496"/>
      <c r="N544" s="496"/>
      <c r="O544" s="496"/>
      <c r="P544" s="496"/>
      <c r="Q544" s="496"/>
    </row>
    <row r="545" spans="12:17" x14ac:dyDescent="0.25">
      <c r="L545" s="496"/>
      <c r="M545" s="496"/>
      <c r="N545" s="496"/>
      <c r="O545" s="496"/>
      <c r="P545" s="496"/>
      <c r="Q545" s="496"/>
    </row>
    <row r="546" spans="12:17" x14ac:dyDescent="0.25">
      <c r="L546" s="496"/>
      <c r="M546" s="496"/>
      <c r="N546" s="496"/>
      <c r="O546" s="496"/>
      <c r="P546" s="496"/>
      <c r="Q546" s="496"/>
    </row>
    <row r="547" spans="12:17" x14ac:dyDescent="0.25">
      <c r="L547" s="496"/>
      <c r="M547" s="496"/>
      <c r="N547" s="496"/>
      <c r="O547" s="496"/>
      <c r="P547" s="496"/>
      <c r="Q547" s="496"/>
    </row>
    <row r="548" spans="12:17" x14ac:dyDescent="0.25">
      <c r="L548" s="496"/>
      <c r="M548" s="496"/>
      <c r="N548" s="496"/>
      <c r="O548" s="496"/>
      <c r="P548" s="496"/>
      <c r="Q548" s="496"/>
    </row>
    <row r="549" spans="12:17" x14ac:dyDescent="0.25">
      <c r="L549" s="496"/>
      <c r="M549" s="496"/>
      <c r="N549" s="496"/>
      <c r="O549" s="496"/>
      <c r="P549" s="496"/>
      <c r="Q549" s="496"/>
    </row>
    <row r="550" spans="12:17" x14ac:dyDescent="0.25">
      <c r="L550" s="496"/>
      <c r="M550" s="496"/>
      <c r="N550" s="496"/>
      <c r="O550" s="496"/>
      <c r="P550" s="496"/>
      <c r="Q550" s="496"/>
    </row>
    <row r="551" spans="12:17" x14ac:dyDescent="0.25">
      <c r="L551" s="496"/>
      <c r="M551" s="496"/>
      <c r="N551" s="496"/>
      <c r="O551" s="496"/>
      <c r="P551" s="496"/>
      <c r="Q551" s="496"/>
    </row>
    <row r="552" spans="12:17" x14ac:dyDescent="0.25">
      <c r="L552" s="496"/>
      <c r="M552" s="496"/>
      <c r="N552" s="496"/>
      <c r="O552" s="496"/>
      <c r="P552" s="496"/>
      <c r="Q552" s="496"/>
    </row>
    <row r="553" spans="12:17" x14ac:dyDescent="0.25">
      <c r="L553" s="496"/>
      <c r="M553" s="496"/>
      <c r="N553" s="496"/>
      <c r="O553" s="496"/>
      <c r="P553" s="496"/>
      <c r="Q553" s="496"/>
    </row>
    <row r="554" spans="12:17" x14ac:dyDescent="0.25">
      <c r="L554" s="496"/>
      <c r="M554" s="496"/>
      <c r="N554" s="496"/>
      <c r="O554" s="496"/>
      <c r="P554" s="496"/>
      <c r="Q554" s="496"/>
    </row>
    <row r="555" spans="12:17" x14ac:dyDescent="0.25">
      <c r="L555" s="496"/>
      <c r="M555" s="496"/>
      <c r="N555" s="496"/>
      <c r="O555" s="496"/>
      <c r="P555" s="496"/>
      <c r="Q555" s="496"/>
    </row>
    <row r="556" spans="12:17" x14ac:dyDescent="0.25">
      <c r="L556" s="496"/>
      <c r="M556" s="496"/>
      <c r="N556" s="496"/>
      <c r="O556" s="496"/>
      <c r="P556" s="496"/>
      <c r="Q556" s="496"/>
    </row>
    <row r="557" spans="12:17" x14ac:dyDescent="0.25">
      <c r="L557" s="496"/>
      <c r="M557" s="496"/>
      <c r="N557" s="496"/>
      <c r="O557" s="496"/>
      <c r="P557" s="496"/>
      <c r="Q557" s="496"/>
    </row>
    <row r="558" spans="12:17" x14ac:dyDescent="0.25">
      <c r="L558" s="496"/>
      <c r="M558" s="496"/>
      <c r="N558" s="496"/>
      <c r="O558" s="496"/>
      <c r="P558" s="496"/>
      <c r="Q558" s="496"/>
    </row>
    <row r="559" spans="12:17" x14ac:dyDescent="0.25">
      <c r="L559" s="496"/>
      <c r="M559" s="496"/>
      <c r="N559" s="496"/>
      <c r="O559" s="496"/>
      <c r="P559" s="496"/>
      <c r="Q559" s="496"/>
    </row>
    <row r="560" spans="12:17" x14ac:dyDescent="0.25">
      <c r="L560" s="496"/>
      <c r="M560" s="496"/>
      <c r="N560" s="496"/>
      <c r="O560" s="496"/>
      <c r="P560" s="496"/>
      <c r="Q560" s="496"/>
    </row>
    <row r="561" spans="12:17" x14ac:dyDescent="0.25">
      <c r="L561" s="496"/>
      <c r="M561" s="496"/>
      <c r="N561" s="496"/>
      <c r="O561" s="496"/>
      <c r="P561" s="496"/>
      <c r="Q561" s="496"/>
    </row>
    <row r="562" spans="12:17" x14ac:dyDescent="0.25">
      <c r="L562" s="496"/>
      <c r="M562" s="496"/>
      <c r="N562" s="496"/>
      <c r="O562" s="496"/>
      <c r="P562" s="496"/>
      <c r="Q562" s="496"/>
    </row>
    <row r="563" spans="12:17" x14ac:dyDescent="0.25">
      <c r="L563" s="496"/>
      <c r="M563" s="496"/>
      <c r="N563" s="496"/>
      <c r="O563" s="496"/>
      <c r="P563" s="496"/>
      <c r="Q563" s="496"/>
    </row>
    <row r="564" spans="12:17" x14ac:dyDescent="0.25">
      <c r="L564" s="496"/>
      <c r="M564" s="496"/>
      <c r="N564" s="496"/>
      <c r="O564" s="496"/>
      <c r="P564" s="496"/>
      <c r="Q564" s="496"/>
    </row>
    <row r="565" spans="12:17" x14ac:dyDescent="0.25">
      <c r="L565" s="496"/>
      <c r="M565" s="496"/>
      <c r="N565" s="496"/>
      <c r="O565" s="496"/>
      <c r="P565" s="496"/>
      <c r="Q565" s="496"/>
    </row>
    <row r="566" spans="12:17" x14ac:dyDescent="0.25">
      <c r="L566" s="496"/>
      <c r="M566" s="496"/>
      <c r="N566" s="496"/>
      <c r="O566" s="496"/>
      <c r="P566" s="496"/>
      <c r="Q566" s="496"/>
    </row>
    <row r="567" spans="12:17" x14ac:dyDescent="0.25">
      <c r="L567" s="496"/>
      <c r="M567" s="496"/>
      <c r="N567" s="496"/>
      <c r="O567" s="496"/>
      <c r="P567" s="496"/>
      <c r="Q567" s="496"/>
    </row>
    <row r="568" spans="12:17" x14ac:dyDescent="0.25">
      <c r="L568" s="496"/>
      <c r="M568" s="496"/>
      <c r="N568" s="496"/>
      <c r="O568" s="496"/>
      <c r="P568" s="496"/>
      <c r="Q568" s="496"/>
    </row>
    <row r="569" spans="12:17" x14ac:dyDescent="0.25">
      <c r="L569" s="496"/>
      <c r="M569" s="496"/>
      <c r="N569" s="496"/>
      <c r="O569" s="496"/>
      <c r="P569" s="496"/>
      <c r="Q569" s="496"/>
    </row>
    <row r="570" spans="12:17" x14ac:dyDescent="0.25">
      <c r="L570" s="496"/>
      <c r="M570" s="496"/>
      <c r="N570" s="496"/>
      <c r="O570" s="496"/>
      <c r="P570" s="496"/>
      <c r="Q570" s="496"/>
    </row>
    <row r="571" spans="12:17" x14ac:dyDescent="0.25">
      <c r="L571" s="496"/>
      <c r="M571" s="496"/>
      <c r="N571" s="496"/>
      <c r="O571" s="496"/>
      <c r="P571" s="496"/>
      <c r="Q571" s="496"/>
    </row>
    <row r="572" spans="12:17" x14ac:dyDescent="0.25">
      <c r="L572" s="496"/>
      <c r="M572" s="496"/>
      <c r="N572" s="496"/>
      <c r="O572" s="496"/>
      <c r="P572" s="496"/>
      <c r="Q572" s="496"/>
    </row>
    <row r="573" spans="12:17" x14ac:dyDescent="0.25">
      <c r="L573" s="496"/>
      <c r="M573" s="496"/>
      <c r="N573" s="496"/>
      <c r="O573" s="496"/>
      <c r="P573" s="496"/>
      <c r="Q573" s="496"/>
    </row>
    <row r="574" spans="12:17" x14ac:dyDescent="0.25">
      <c r="L574" s="496"/>
      <c r="M574" s="496"/>
      <c r="N574" s="496"/>
      <c r="O574" s="496"/>
      <c r="P574" s="496"/>
      <c r="Q574" s="496"/>
    </row>
    <row r="575" spans="12:17" x14ac:dyDescent="0.25">
      <c r="L575" s="496"/>
      <c r="M575" s="496"/>
      <c r="N575" s="496"/>
      <c r="O575" s="496"/>
      <c r="P575" s="496"/>
      <c r="Q575" s="496"/>
    </row>
    <row r="576" spans="12:17" x14ac:dyDescent="0.25">
      <c r="L576" s="496"/>
      <c r="M576" s="496"/>
      <c r="N576" s="496"/>
      <c r="O576" s="496"/>
      <c r="P576" s="496"/>
      <c r="Q576" s="496"/>
    </row>
    <row r="577" spans="12:17" x14ac:dyDescent="0.25">
      <c r="L577" s="496"/>
      <c r="M577" s="496"/>
      <c r="N577" s="496"/>
      <c r="O577" s="496"/>
      <c r="P577" s="496"/>
      <c r="Q577" s="496"/>
    </row>
    <row r="578" spans="12:17" x14ac:dyDescent="0.25">
      <c r="L578" s="496"/>
      <c r="M578" s="496"/>
      <c r="N578" s="496"/>
      <c r="O578" s="496"/>
      <c r="P578" s="496"/>
      <c r="Q578" s="496"/>
    </row>
    <row r="579" spans="12:17" x14ac:dyDescent="0.25">
      <c r="L579" s="496"/>
      <c r="M579" s="496"/>
      <c r="N579" s="496"/>
      <c r="O579" s="496"/>
      <c r="P579" s="496"/>
      <c r="Q579" s="496"/>
    </row>
    <row r="580" spans="12:17" x14ac:dyDescent="0.25">
      <c r="L580" s="496"/>
      <c r="M580" s="496"/>
      <c r="N580" s="496"/>
      <c r="O580" s="496"/>
      <c r="P580" s="496"/>
      <c r="Q580" s="496"/>
    </row>
    <row r="581" spans="12:17" x14ac:dyDescent="0.25">
      <c r="L581" s="496"/>
      <c r="M581" s="496"/>
      <c r="N581" s="496"/>
      <c r="O581" s="496"/>
      <c r="P581" s="496"/>
      <c r="Q581" s="496"/>
    </row>
    <row r="582" spans="12:17" x14ac:dyDescent="0.25">
      <c r="L582" s="496"/>
      <c r="M582" s="496"/>
      <c r="N582" s="496"/>
      <c r="O582" s="496"/>
      <c r="P582" s="496"/>
      <c r="Q582" s="496"/>
    </row>
    <row r="583" spans="12:17" x14ac:dyDescent="0.25">
      <c r="L583" s="496"/>
      <c r="M583" s="496"/>
      <c r="N583" s="496"/>
      <c r="O583" s="496"/>
      <c r="P583" s="496"/>
      <c r="Q583" s="496"/>
    </row>
    <row r="584" spans="12:17" x14ac:dyDescent="0.25">
      <c r="L584" s="496"/>
      <c r="M584" s="496"/>
      <c r="N584" s="496"/>
      <c r="O584" s="496"/>
      <c r="P584" s="496"/>
      <c r="Q584" s="496"/>
    </row>
    <row r="585" spans="12:17" x14ac:dyDescent="0.25">
      <c r="L585" s="496"/>
      <c r="M585" s="496"/>
      <c r="N585" s="496"/>
      <c r="O585" s="496"/>
      <c r="P585" s="496"/>
      <c r="Q585" s="496"/>
    </row>
    <row r="586" spans="12:17" x14ac:dyDescent="0.25">
      <c r="L586" s="496"/>
      <c r="M586" s="496"/>
      <c r="N586" s="496"/>
      <c r="O586" s="496"/>
      <c r="P586" s="496"/>
      <c r="Q586" s="496"/>
    </row>
    <row r="587" spans="12:17" x14ac:dyDescent="0.25">
      <c r="L587" s="496"/>
      <c r="M587" s="496"/>
      <c r="N587" s="496"/>
      <c r="O587" s="496"/>
      <c r="P587" s="496"/>
      <c r="Q587" s="496"/>
    </row>
    <row r="588" spans="12:17" x14ac:dyDescent="0.25">
      <c r="L588" s="496"/>
      <c r="M588" s="496"/>
      <c r="N588" s="496"/>
      <c r="O588" s="496"/>
      <c r="P588" s="496"/>
      <c r="Q588" s="496"/>
    </row>
    <row r="589" spans="12:17" x14ac:dyDescent="0.25">
      <c r="L589" s="496"/>
      <c r="M589" s="496"/>
      <c r="N589" s="496"/>
      <c r="O589" s="496"/>
      <c r="P589" s="496"/>
      <c r="Q589" s="496"/>
    </row>
    <row r="590" spans="12:17" x14ac:dyDescent="0.25">
      <c r="L590" s="496"/>
      <c r="M590" s="496"/>
      <c r="N590" s="496"/>
      <c r="O590" s="496"/>
      <c r="P590" s="496"/>
      <c r="Q590" s="496"/>
    </row>
    <row r="591" spans="12:17" x14ac:dyDescent="0.25">
      <c r="L591" s="496"/>
      <c r="M591" s="496"/>
      <c r="N591" s="496"/>
      <c r="O591" s="496"/>
      <c r="P591" s="496"/>
      <c r="Q591" s="496"/>
    </row>
    <row r="592" spans="12:17" x14ac:dyDescent="0.25">
      <c r="L592" s="496"/>
      <c r="M592" s="496"/>
      <c r="N592" s="496"/>
      <c r="O592" s="496"/>
      <c r="P592" s="496"/>
      <c r="Q592" s="496"/>
    </row>
    <row r="593" spans="12:17" x14ac:dyDescent="0.25">
      <c r="L593" s="496"/>
      <c r="M593" s="496"/>
      <c r="N593" s="496"/>
      <c r="O593" s="496"/>
      <c r="P593" s="496"/>
      <c r="Q593" s="496"/>
    </row>
    <row r="594" spans="12:17" x14ac:dyDescent="0.25">
      <c r="L594" s="496"/>
      <c r="M594" s="496"/>
      <c r="N594" s="496"/>
      <c r="O594" s="496"/>
      <c r="P594" s="496"/>
      <c r="Q594" s="496"/>
    </row>
    <row r="595" spans="12:17" x14ac:dyDescent="0.25">
      <c r="L595" s="496"/>
      <c r="M595" s="496"/>
      <c r="N595" s="496"/>
      <c r="O595" s="496"/>
      <c r="P595" s="496"/>
      <c r="Q595" s="496"/>
    </row>
    <row r="596" spans="12:17" x14ac:dyDescent="0.25">
      <c r="L596" s="496"/>
      <c r="M596" s="496"/>
      <c r="N596" s="496"/>
      <c r="O596" s="496"/>
      <c r="P596" s="496"/>
      <c r="Q596" s="496"/>
    </row>
    <row r="597" spans="12:17" x14ac:dyDescent="0.25">
      <c r="L597" s="496"/>
      <c r="M597" s="496"/>
      <c r="N597" s="496"/>
      <c r="O597" s="496"/>
      <c r="P597" s="496"/>
      <c r="Q597" s="496"/>
    </row>
    <row r="598" spans="12:17" x14ac:dyDescent="0.25">
      <c r="L598" s="496"/>
      <c r="M598" s="496"/>
      <c r="N598" s="496"/>
      <c r="O598" s="496"/>
      <c r="P598" s="496"/>
      <c r="Q598" s="496"/>
    </row>
    <row r="599" spans="12:17" x14ac:dyDescent="0.25">
      <c r="L599" s="496"/>
      <c r="M599" s="496"/>
      <c r="N599" s="496"/>
      <c r="O599" s="496"/>
      <c r="P599" s="496"/>
      <c r="Q599" s="496"/>
    </row>
    <row r="600" spans="12:17" x14ac:dyDescent="0.25">
      <c r="L600" s="496"/>
      <c r="M600" s="496"/>
      <c r="N600" s="496"/>
      <c r="O600" s="496"/>
      <c r="P600" s="496"/>
      <c r="Q600" s="496"/>
    </row>
    <row r="601" spans="12:17" x14ac:dyDescent="0.25">
      <c r="L601" s="496"/>
      <c r="M601" s="496"/>
      <c r="N601" s="496"/>
      <c r="O601" s="496"/>
      <c r="P601" s="496"/>
      <c r="Q601" s="496"/>
    </row>
    <row r="602" spans="12:17" x14ac:dyDescent="0.25">
      <c r="L602" s="496"/>
      <c r="M602" s="496"/>
      <c r="N602" s="496"/>
      <c r="O602" s="496"/>
      <c r="P602" s="496"/>
      <c r="Q602" s="496"/>
    </row>
    <row r="603" spans="12:17" x14ac:dyDescent="0.25">
      <c r="L603" s="496"/>
      <c r="M603" s="496"/>
      <c r="N603" s="496"/>
      <c r="O603" s="496"/>
      <c r="P603" s="496"/>
      <c r="Q603" s="496"/>
    </row>
    <row r="604" spans="12:17" x14ac:dyDescent="0.25">
      <c r="L604" s="496"/>
      <c r="M604" s="496"/>
      <c r="N604" s="496"/>
      <c r="O604" s="496"/>
      <c r="P604" s="496"/>
      <c r="Q604" s="496"/>
    </row>
    <row r="605" spans="12:17" x14ac:dyDescent="0.25">
      <c r="L605" s="496"/>
      <c r="M605" s="496"/>
      <c r="N605" s="496"/>
      <c r="O605" s="496"/>
      <c r="P605" s="496"/>
      <c r="Q605" s="496"/>
    </row>
    <row r="606" spans="12:17" x14ac:dyDescent="0.25">
      <c r="L606" s="496"/>
      <c r="M606" s="496"/>
      <c r="N606" s="496"/>
      <c r="O606" s="496"/>
      <c r="P606" s="496"/>
      <c r="Q606" s="496"/>
    </row>
    <row r="607" spans="12:17" x14ac:dyDescent="0.25">
      <c r="L607" s="496"/>
      <c r="M607" s="496"/>
      <c r="N607" s="496"/>
      <c r="O607" s="496"/>
      <c r="P607" s="496"/>
      <c r="Q607" s="496"/>
    </row>
    <row r="608" spans="12:17" x14ac:dyDescent="0.25">
      <c r="L608" s="496"/>
      <c r="M608" s="496"/>
      <c r="N608" s="496"/>
      <c r="O608" s="496"/>
      <c r="P608" s="496"/>
      <c r="Q608" s="496"/>
    </row>
    <row r="609" spans="12:17" x14ac:dyDescent="0.25">
      <c r="L609" s="496"/>
      <c r="M609" s="496"/>
      <c r="N609" s="496"/>
      <c r="O609" s="496"/>
      <c r="P609" s="496"/>
      <c r="Q609" s="496"/>
    </row>
    <row r="610" spans="12:17" x14ac:dyDescent="0.25">
      <c r="L610" s="496"/>
      <c r="M610" s="496"/>
      <c r="N610" s="496"/>
      <c r="O610" s="496"/>
      <c r="P610" s="496"/>
      <c r="Q610" s="496"/>
    </row>
    <row r="611" spans="12:17" x14ac:dyDescent="0.25">
      <c r="L611" s="496"/>
      <c r="M611" s="496"/>
      <c r="N611" s="496"/>
      <c r="O611" s="496"/>
      <c r="P611" s="496"/>
      <c r="Q611" s="496"/>
    </row>
    <row r="612" spans="12:17" x14ac:dyDescent="0.25">
      <c r="L612" s="496"/>
      <c r="M612" s="496"/>
      <c r="N612" s="496"/>
      <c r="O612" s="496"/>
      <c r="P612" s="496"/>
      <c r="Q612" s="496"/>
    </row>
    <row r="613" spans="12:17" x14ac:dyDescent="0.25">
      <c r="L613" s="496"/>
      <c r="M613" s="496"/>
      <c r="N613" s="496"/>
      <c r="O613" s="496"/>
      <c r="P613" s="496"/>
      <c r="Q613" s="496"/>
    </row>
    <row r="614" spans="12:17" x14ac:dyDescent="0.25">
      <c r="L614" s="496"/>
      <c r="M614" s="496"/>
      <c r="N614" s="496"/>
      <c r="O614" s="496"/>
      <c r="P614" s="496"/>
      <c r="Q614" s="496"/>
    </row>
    <row r="615" spans="12:17" x14ac:dyDescent="0.25">
      <c r="L615" s="496"/>
      <c r="M615" s="496"/>
      <c r="N615" s="496"/>
      <c r="O615" s="496"/>
      <c r="P615" s="496"/>
      <c r="Q615" s="496"/>
    </row>
    <row r="616" spans="12:17" x14ac:dyDescent="0.25">
      <c r="L616" s="496"/>
      <c r="M616" s="496"/>
      <c r="N616" s="496"/>
      <c r="O616" s="496"/>
      <c r="P616" s="496"/>
      <c r="Q616" s="496"/>
    </row>
    <row r="617" spans="12:17" x14ac:dyDescent="0.25">
      <c r="L617" s="496"/>
      <c r="M617" s="496"/>
      <c r="N617" s="496"/>
      <c r="O617" s="496"/>
      <c r="P617" s="496"/>
      <c r="Q617" s="496"/>
    </row>
    <row r="618" spans="12:17" x14ac:dyDescent="0.25">
      <c r="L618" s="496"/>
      <c r="M618" s="496"/>
      <c r="N618" s="496"/>
      <c r="O618" s="496"/>
      <c r="P618" s="496"/>
      <c r="Q618" s="496"/>
    </row>
    <row r="619" spans="12:17" x14ac:dyDescent="0.25">
      <c r="L619" s="496"/>
      <c r="M619" s="496"/>
      <c r="N619" s="496"/>
      <c r="O619" s="496"/>
      <c r="P619" s="496"/>
      <c r="Q619" s="496"/>
    </row>
    <row r="620" spans="12:17" x14ac:dyDescent="0.25">
      <c r="L620" s="496"/>
      <c r="M620" s="496"/>
      <c r="N620" s="496"/>
      <c r="O620" s="496"/>
      <c r="P620" s="496"/>
      <c r="Q620" s="496"/>
    </row>
    <row r="621" spans="12:17" x14ac:dyDescent="0.25">
      <c r="L621" s="496"/>
      <c r="M621" s="496"/>
      <c r="N621" s="496"/>
      <c r="O621" s="496"/>
      <c r="P621" s="496"/>
      <c r="Q621" s="496"/>
    </row>
    <row r="622" spans="12:17" x14ac:dyDescent="0.25">
      <c r="L622" s="496"/>
      <c r="M622" s="496"/>
      <c r="N622" s="496"/>
      <c r="O622" s="496"/>
      <c r="P622" s="496"/>
      <c r="Q622" s="496"/>
    </row>
    <row r="623" spans="12:17" x14ac:dyDescent="0.25">
      <c r="L623" s="496"/>
      <c r="M623" s="496"/>
      <c r="N623" s="496"/>
      <c r="O623" s="496"/>
      <c r="P623" s="496"/>
      <c r="Q623" s="496"/>
    </row>
    <row r="624" spans="12:17" x14ac:dyDescent="0.25">
      <c r="L624" s="496"/>
      <c r="M624" s="496"/>
      <c r="N624" s="496"/>
      <c r="O624" s="496"/>
      <c r="P624" s="496"/>
      <c r="Q624" s="496"/>
    </row>
    <row r="625" spans="12:17" x14ac:dyDescent="0.25">
      <c r="L625" s="496"/>
      <c r="M625" s="496"/>
      <c r="N625" s="496"/>
      <c r="O625" s="496"/>
      <c r="P625" s="496"/>
      <c r="Q625" s="496"/>
    </row>
    <row r="626" spans="12:17" x14ac:dyDescent="0.25">
      <c r="L626" s="496"/>
      <c r="M626" s="496"/>
      <c r="N626" s="496"/>
      <c r="O626" s="496"/>
      <c r="P626" s="496"/>
      <c r="Q626" s="496"/>
    </row>
    <row r="627" spans="12:17" x14ac:dyDescent="0.25">
      <c r="L627" s="496"/>
      <c r="M627" s="496"/>
      <c r="N627" s="496"/>
      <c r="O627" s="496"/>
      <c r="P627" s="496"/>
      <c r="Q627" s="496"/>
    </row>
    <row r="628" spans="12:17" x14ac:dyDescent="0.25">
      <c r="L628" s="496"/>
      <c r="M628" s="496"/>
      <c r="N628" s="496"/>
      <c r="O628" s="496"/>
      <c r="P628" s="496"/>
      <c r="Q628" s="496"/>
    </row>
    <row r="629" spans="12:17" x14ac:dyDescent="0.25">
      <c r="L629" s="496"/>
      <c r="M629" s="496"/>
      <c r="N629" s="496"/>
      <c r="O629" s="496"/>
      <c r="P629" s="496"/>
      <c r="Q629" s="496"/>
    </row>
    <row r="630" spans="12:17" x14ac:dyDescent="0.25">
      <c r="L630" s="496"/>
      <c r="M630" s="496"/>
      <c r="N630" s="496"/>
      <c r="O630" s="496"/>
      <c r="P630" s="496"/>
      <c r="Q630" s="496"/>
    </row>
    <row r="631" spans="12:17" x14ac:dyDescent="0.25">
      <c r="L631" s="496"/>
      <c r="M631" s="496"/>
      <c r="N631" s="496"/>
      <c r="O631" s="496"/>
      <c r="P631" s="496"/>
      <c r="Q631" s="496"/>
    </row>
    <row r="632" spans="12:17" x14ac:dyDescent="0.25">
      <c r="L632" s="496"/>
      <c r="M632" s="496"/>
      <c r="N632" s="496"/>
      <c r="O632" s="496"/>
      <c r="P632" s="496"/>
      <c r="Q632" s="496"/>
    </row>
    <row r="633" spans="12:17" x14ac:dyDescent="0.25">
      <c r="L633" s="496"/>
      <c r="M633" s="496"/>
      <c r="N633" s="496"/>
      <c r="O633" s="496"/>
      <c r="P633" s="496"/>
      <c r="Q633" s="496"/>
    </row>
    <row r="634" spans="12:17" x14ac:dyDescent="0.25">
      <c r="L634" s="496"/>
      <c r="M634" s="496"/>
      <c r="N634" s="496"/>
      <c r="O634" s="496"/>
      <c r="P634" s="496"/>
      <c r="Q634" s="496"/>
    </row>
    <row r="635" spans="12:17" x14ac:dyDescent="0.25">
      <c r="L635" s="496"/>
      <c r="M635" s="496"/>
      <c r="N635" s="496"/>
      <c r="O635" s="496"/>
      <c r="P635" s="496"/>
      <c r="Q635" s="496"/>
    </row>
    <row r="636" spans="12:17" x14ac:dyDescent="0.25">
      <c r="L636" s="496"/>
      <c r="M636" s="496"/>
      <c r="N636" s="496"/>
      <c r="O636" s="496"/>
      <c r="P636" s="496"/>
      <c r="Q636" s="496"/>
    </row>
    <row r="637" spans="12:17" x14ac:dyDescent="0.25">
      <c r="L637" s="496"/>
      <c r="M637" s="496"/>
      <c r="N637" s="496"/>
      <c r="O637" s="496"/>
      <c r="P637" s="496"/>
      <c r="Q637" s="496"/>
    </row>
    <row r="638" spans="12:17" x14ac:dyDescent="0.25">
      <c r="L638" s="496"/>
      <c r="M638" s="496"/>
      <c r="N638" s="496"/>
      <c r="O638" s="496"/>
      <c r="P638" s="496"/>
      <c r="Q638" s="496"/>
    </row>
    <row r="639" spans="12:17" x14ac:dyDescent="0.25">
      <c r="L639" s="496"/>
      <c r="M639" s="496"/>
      <c r="N639" s="496"/>
      <c r="O639" s="496"/>
      <c r="P639" s="496"/>
      <c r="Q639" s="496"/>
    </row>
    <row r="640" spans="12:17" x14ac:dyDescent="0.25">
      <c r="L640" s="496"/>
      <c r="M640" s="496"/>
      <c r="N640" s="496"/>
      <c r="O640" s="496"/>
      <c r="P640" s="496"/>
      <c r="Q640" s="496"/>
    </row>
    <row r="641" spans="12:17" x14ac:dyDescent="0.25">
      <c r="L641" s="496"/>
      <c r="M641" s="496"/>
      <c r="N641" s="496"/>
      <c r="O641" s="496"/>
      <c r="P641" s="496"/>
      <c r="Q641" s="496"/>
    </row>
    <row r="642" spans="12:17" x14ac:dyDescent="0.25">
      <c r="L642" s="496"/>
      <c r="M642" s="496"/>
      <c r="N642" s="496"/>
      <c r="O642" s="496"/>
      <c r="P642" s="496"/>
      <c r="Q642" s="496"/>
    </row>
    <row r="643" spans="12:17" x14ac:dyDescent="0.25">
      <c r="L643" s="496"/>
      <c r="M643" s="496"/>
      <c r="N643" s="496"/>
      <c r="O643" s="496"/>
      <c r="P643" s="496"/>
      <c r="Q643" s="496"/>
    </row>
    <row r="644" spans="12:17" x14ac:dyDescent="0.25">
      <c r="L644" s="496"/>
      <c r="M644" s="496"/>
      <c r="N644" s="496"/>
      <c r="O644" s="496"/>
      <c r="P644" s="496"/>
      <c r="Q644" s="496"/>
    </row>
    <row r="645" spans="12:17" x14ac:dyDescent="0.25">
      <c r="L645" s="496"/>
      <c r="M645" s="496"/>
      <c r="N645" s="496"/>
      <c r="O645" s="496"/>
      <c r="P645" s="496"/>
      <c r="Q645" s="496"/>
    </row>
    <row r="646" spans="12:17" x14ac:dyDescent="0.25">
      <c r="L646" s="496"/>
      <c r="M646" s="496"/>
      <c r="N646" s="496"/>
      <c r="O646" s="496"/>
      <c r="P646" s="496"/>
      <c r="Q646" s="496"/>
    </row>
    <row r="647" spans="12:17" x14ac:dyDescent="0.25">
      <c r="L647" s="496"/>
      <c r="M647" s="496"/>
      <c r="N647" s="496"/>
      <c r="O647" s="496"/>
      <c r="P647" s="496"/>
      <c r="Q647" s="496"/>
    </row>
    <row r="648" spans="12:17" x14ac:dyDescent="0.25">
      <c r="L648" s="496"/>
      <c r="M648" s="496"/>
      <c r="N648" s="496"/>
      <c r="O648" s="496"/>
      <c r="P648" s="496"/>
      <c r="Q648" s="496"/>
    </row>
    <row r="649" spans="12:17" x14ac:dyDescent="0.25">
      <c r="L649" s="496"/>
      <c r="M649" s="496"/>
      <c r="N649" s="496"/>
      <c r="O649" s="496"/>
      <c r="P649" s="496"/>
      <c r="Q649" s="496"/>
    </row>
    <row r="650" spans="12:17" x14ac:dyDescent="0.25">
      <c r="L650" s="496"/>
      <c r="M650" s="496"/>
      <c r="N650" s="496"/>
      <c r="O650" s="496"/>
      <c r="P650" s="496"/>
      <c r="Q650" s="496"/>
    </row>
    <row r="651" spans="12:17" x14ac:dyDescent="0.25">
      <c r="L651" s="496"/>
      <c r="M651" s="496"/>
      <c r="N651" s="496"/>
      <c r="O651" s="496"/>
      <c r="P651" s="496"/>
      <c r="Q651" s="496"/>
    </row>
    <row r="652" spans="12:17" x14ac:dyDescent="0.25">
      <c r="L652" s="496"/>
      <c r="M652" s="496"/>
      <c r="N652" s="496"/>
      <c r="O652" s="496"/>
      <c r="P652" s="496"/>
      <c r="Q652" s="496"/>
    </row>
    <row r="653" spans="12:17" x14ac:dyDescent="0.25">
      <c r="L653" s="496"/>
      <c r="M653" s="496"/>
      <c r="N653" s="496"/>
      <c r="O653" s="496"/>
      <c r="P653" s="496"/>
      <c r="Q653" s="496"/>
    </row>
    <row r="654" spans="12:17" x14ac:dyDescent="0.25">
      <c r="L654" s="496"/>
      <c r="M654" s="496"/>
      <c r="N654" s="496"/>
      <c r="O654" s="496"/>
      <c r="P654" s="496"/>
      <c r="Q654" s="496"/>
    </row>
    <row r="655" spans="12:17" x14ac:dyDescent="0.25">
      <c r="L655" s="496"/>
      <c r="M655" s="496"/>
      <c r="N655" s="496"/>
      <c r="O655" s="496"/>
      <c r="P655" s="496"/>
      <c r="Q655" s="496"/>
    </row>
    <row r="656" spans="12:17" x14ac:dyDescent="0.25">
      <c r="L656" s="496"/>
      <c r="M656" s="496"/>
      <c r="N656" s="496"/>
      <c r="O656" s="496"/>
      <c r="P656" s="496"/>
      <c r="Q656" s="496"/>
    </row>
    <row r="657" spans="12:17" x14ac:dyDescent="0.25">
      <c r="L657" s="496"/>
      <c r="M657" s="496"/>
      <c r="N657" s="496"/>
      <c r="O657" s="496"/>
      <c r="P657" s="496"/>
      <c r="Q657" s="496"/>
    </row>
    <row r="658" spans="12:17" x14ac:dyDescent="0.25">
      <c r="L658" s="496"/>
      <c r="M658" s="496"/>
      <c r="N658" s="496"/>
      <c r="O658" s="496"/>
      <c r="P658" s="496"/>
      <c r="Q658" s="496"/>
    </row>
    <row r="659" spans="12:17" x14ac:dyDescent="0.25">
      <c r="L659" s="496"/>
      <c r="M659" s="496"/>
      <c r="N659" s="496"/>
      <c r="O659" s="496"/>
      <c r="P659" s="496"/>
      <c r="Q659" s="496"/>
    </row>
    <row r="660" spans="12:17" x14ac:dyDescent="0.25">
      <c r="L660" s="496"/>
      <c r="M660" s="496"/>
      <c r="N660" s="496"/>
      <c r="O660" s="496"/>
      <c r="P660" s="496"/>
      <c r="Q660" s="496"/>
    </row>
    <row r="661" spans="12:17" x14ac:dyDescent="0.25">
      <c r="L661" s="496"/>
      <c r="M661" s="496"/>
      <c r="N661" s="496"/>
      <c r="O661" s="496"/>
      <c r="P661" s="496"/>
      <c r="Q661" s="496"/>
    </row>
    <row r="662" spans="12:17" x14ac:dyDescent="0.25">
      <c r="L662" s="496"/>
      <c r="M662" s="496"/>
      <c r="N662" s="496"/>
      <c r="O662" s="496"/>
      <c r="P662" s="496"/>
      <c r="Q662" s="496"/>
    </row>
    <row r="663" spans="12:17" x14ac:dyDescent="0.25">
      <c r="L663" s="496"/>
      <c r="M663" s="496"/>
      <c r="N663" s="496"/>
      <c r="O663" s="496"/>
      <c r="P663" s="496"/>
      <c r="Q663" s="496"/>
    </row>
    <row r="664" spans="12:17" x14ac:dyDescent="0.25">
      <c r="L664" s="496"/>
      <c r="M664" s="496"/>
      <c r="N664" s="496"/>
      <c r="O664" s="496"/>
      <c r="P664" s="496"/>
      <c r="Q664" s="496"/>
    </row>
    <row r="665" spans="12:17" x14ac:dyDescent="0.25">
      <c r="L665" s="496"/>
      <c r="M665" s="496"/>
      <c r="N665" s="496"/>
      <c r="O665" s="496"/>
      <c r="P665" s="496"/>
      <c r="Q665" s="496"/>
    </row>
    <row r="666" spans="12:17" x14ac:dyDescent="0.25">
      <c r="L666" s="496"/>
      <c r="M666" s="496"/>
      <c r="N666" s="496"/>
      <c r="O666" s="496"/>
      <c r="P666" s="496"/>
      <c r="Q666" s="496"/>
    </row>
    <row r="667" spans="12:17" x14ac:dyDescent="0.25">
      <c r="L667" s="496"/>
      <c r="M667" s="496"/>
      <c r="N667" s="496"/>
      <c r="O667" s="496"/>
      <c r="P667" s="496"/>
      <c r="Q667" s="496"/>
    </row>
    <row r="668" spans="12:17" x14ac:dyDescent="0.25">
      <c r="L668" s="496"/>
      <c r="M668" s="496"/>
      <c r="N668" s="496"/>
      <c r="O668" s="496"/>
      <c r="P668" s="496"/>
      <c r="Q668" s="496"/>
    </row>
    <row r="669" spans="12:17" x14ac:dyDescent="0.25">
      <c r="L669" s="496"/>
      <c r="M669" s="496"/>
      <c r="N669" s="496"/>
      <c r="O669" s="496"/>
      <c r="P669" s="496"/>
      <c r="Q669" s="496"/>
    </row>
    <row r="670" spans="12:17" x14ac:dyDescent="0.25">
      <c r="L670" s="496"/>
      <c r="M670" s="496"/>
      <c r="N670" s="496"/>
      <c r="O670" s="496"/>
      <c r="P670" s="496"/>
      <c r="Q670" s="496"/>
    </row>
    <row r="671" spans="12:17" x14ac:dyDescent="0.25">
      <c r="L671" s="496"/>
      <c r="M671" s="496"/>
      <c r="N671" s="496"/>
      <c r="O671" s="496"/>
      <c r="P671" s="496"/>
      <c r="Q671" s="496"/>
    </row>
    <row r="672" spans="12:17" x14ac:dyDescent="0.25">
      <c r="L672" s="496"/>
      <c r="M672" s="496"/>
      <c r="N672" s="496"/>
      <c r="O672" s="496"/>
      <c r="P672" s="496"/>
      <c r="Q672" s="496"/>
    </row>
    <row r="673" spans="12:17" x14ac:dyDescent="0.25">
      <c r="L673" s="496"/>
      <c r="M673" s="496"/>
      <c r="N673" s="496"/>
      <c r="O673" s="496"/>
      <c r="P673" s="496"/>
      <c r="Q673" s="496"/>
    </row>
    <row r="674" spans="12:17" x14ac:dyDescent="0.25">
      <c r="L674" s="496"/>
      <c r="M674" s="496"/>
      <c r="N674" s="496"/>
      <c r="O674" s="496"/>
      <c r="P674" s="496"/>
      <c r="Q674" s="496"/>
    </row>
    <row r="675" spans="12:17" x14ac:dyDescent="0.25">
      <c r="L675" s="496"/>
      <c r="M675" s="496"/>
      <c r="N675" s="496"/>
      <c r="O675" s="496"/>
      <c r="P675" s="496"/>
      <c r="Q675" s="496"/>
    </row>
    <row r="676" spans="12:17" x14ac:dyDescent="0.25">
      <c r="L676" s="496"/>
      <c r="M676" s="496"/>
      <c r="N676" s="496"/>
      <c r="O676" s="496"/>
      <c r="P676" s="496"/>
      <c r="Q676" s="496"/>
    </row>
    <row r="677" spans="12:17" x14ac:dyDescent="0.25">
      <c r="L677" s="496"/>
      <c r="M677" s="496"/>
      <c r="N677" s="496"/>
      <c r="O677" s="496"/>
      <c r="P677" s="496"/>
      <c r="Q677" s="496"/>
    </row>
    <row r="678" spans="12:17" x14ac:dyDescent="0.25">
      <c r="L678" s="496"/>
      <c r="M678" s="496"/>
      <c r="N678" s="496"/>
      <c r="O678" s="496"/>
      <c r="P678" s="496"/>
      <c r="Q678" s="496"/>
    </row>
    <row r="679" spans="12:17" x14ac:dyDescent="0.25">
      <c r="L679" s="496"/>
      <c r="M679" s="496"/>
      <c r="N679" s="496"/>
      <c r="O679" s="496"/>
      <c r="P679" s="496"/>
      <c r="Q679" s="496"/>
    </row>
    <row r="680" spans="12:17" x14ac:dyDescent="0.25">
      <c r="L680" s="496"/>
      <c r="M680" s="496"/>
      <c r="N680" s="496"/>
      <c r="O680" s="496"/>
      <c r="P680" s="496"/>
      <c r="Q680" s="496"/>
    </row>
    <row r="681" spans="12:17" x14ac:dyDescent="0.25">
      <c r="L681" s="496"/>
      <c r="M681" s="496"/>
      <c r="N681" s="496"/>
      <c r="O681" s="496"/>
      <c r="P681" s="496"/>
      <c r="Q681" s="496"/>
    </row>
    <row r="682" spans="12:17" x14ac:dyDescent="0.25">
      <c r="L682" s="496"/>
      <c r="M682" s="496"/>
      <c r="N682" s="496"/>
      <c r="O682" s="496"/>
      <c r="P682" s="496"/>
      <c r="Q682" s="496"/>
    </row>
    <row r="683" spans="12:17" x14ac:dyDescent="0.25">
      <c r="L683" s="496"/>
      <c r="M683" s="496"/>
      <c r="N683" s="496"/>
      <c r="O683" s="496"/>
      <c r="P683" s="496"/>
      <c r="Q683" s="496"/>
    </row>
    <row r="684" spans="12:17" x14ac:dyDescent="0.25">
      <c r="L684" s="496"/>
      <c r="M684" s="496"/>
      <c r="N684" s="496"/>
      <c r="O684" s="496"/>
      <c r="P684" s="496"/>
      <c r="Q684" s="496"/>
    </row>
    <row r="685" spans="12:17" x14ac:dyDescent="0.25">
      <c r="L685" s="496"/>
      <c r="M685" s="496"/>
      <c r="N685" s="496"/>
      <c r="O685" s="496"/>
      <c r="P685" s="496"/>
      <c r="Q685" s="496"/>
    </row>
    <row r="686" spans="12:17" x14ac:dyDescent="0.25">
      <c r="L686" s="496"/>
      <c r="M686" s="496"/>
      <c r="N686" s="496"/>
      <c r="O686" s="496"/>
      <c r="P686" s="496"/>
      <c r="Q686" s="496"/>
    </row>
    <row r="687" spans="12:17" x14ac:dyDescent="0.25">
      <c r="L687" s="496"/>
      <c r="M687" s="496"/>
      <c r="N687" s="496"/>
      <c r="O687" s="496"/>
      <c r="P687" s="496"/>
      <c r="Q687" s="496"/>
    </row>
    <row r="688" spans="12:17" x14ac:dyDescent="0.25">
      <c r="L688" s="496"/>
      <c r="M688" s="496"/>
      <c r="N688" s="496"/>
      <c r="O688" s="496"/>
      <c r="P688" s="496"/>
      <c r="Q688" s="496"/>
    </row>
    <row r="689" spans="12:17" x14ac:dyDescent="0.25">
      <c r="L689" s="496"/>
      <c r="M689" s="496"/>
      <c r="N689" s="496"/>
      <c r="O689" s="496"/>
      <c r="P689" s="496"/>
      <c r="Q689" s="496"/>
    </row>
    <row r="690" spans="12:17" x14ac:dyDescent="0.25">
      <c r="L690" s="496"/>
      <c r="M690" s="496"/>
      <c r="N690" s="496"/>
      <c r="O690" s="496"/>
      <c r="P690" s="496"/>
      <c r="Q690" s="496"/>
    </row>
    <row r="691" spans="12:17" x14ac:dyDescent="0.25">
      <c r="L691" s="496"/>
      <c r="M691" s="496"/>
      <c r="N691" s="496"/>
      <c r="O691" s="496"/>
      <c r="P691" s="496"/>
      <c r="Q691" s="496"/>
    </row>
    <row r="692" spans="12:17" x14ac:dyDescent="0.25">
      <c r="L692" s="496"/>
      <c r="M692" s="496"/>
      <c r="N692" s="496"/>
      <c r="O692" s="496"/>
      <c r="P692" s="496"/>
      <c r="Q692" s="496"/>
    </row>
    <row r="693" spans="12:17" x14ac:dyDescent="0.25">
      <c r="L693" s="496"/>
      <c r="M693" s="496"/>
      <c r="N693" s="496"/>
      <c r="O693" s="496"/>
      <c r="P693" s="496"/>
      <c r="Q693" s="496"/>
    </row>
    <row r="694" spans="12:17" x14ac:dyDescent="0.25">
      <c r="L694" s="496"/>
      <c r="M694" s="496"/>
      <c r="N694" s="496"/>
      <c r="O694" s="496"/>
      <c r="P694" s="496"/>
      <c r="Q694" s="496"/>
    </row>
    <row r="695" spans="12:17" x14ac:dyDescent="0.25">
      <c r="L695" s="496"/>
      <c r="M695" s="496"/>
      <c r="N695" s="496"/>
      <c r="O695" s="496"/>
      <c r="P695" s="496"/>
      <c r="Q695" s="496"/>
    </row>
    <row r="696" spans="12:17" x14ac:dyDescent="0.25">
      <c r="L696" s="496"/>
      <c r="M696" s="496"/>
      <c r="N696" s="496"/>
      <c r="O696" s="496"/>
      <c r="P696" s="496"/>
      <c r="Q696" s="496"/>
    </row>
    <row r="697" spans="12:17" x14ac:dyDescent="0.25">
      <c r="L697" s="496"/>
      <c r="M697" s="496"/>
      <c r="N697" s="496"/>
      <c r="O697" s="496"/>
      <c r="P697" s="496"/>
      <c r="Q697" s="496"/>
    </row>
    <row r="698" spans="12:17" x14ac:dyDescent="0.25">
      <c r="L698" s="496"/>
      <c r="M698" s="496"/>
      <c r="N698" s="496"/>
      <c r="O698" s="496"/>
      <c r="P698" s="496"/>
      <c r="Q698" s="496"/>
    </row>
    <row r="699" spans="12:17" x14ac:dyDescent="0.25">
      <c r="L699" s="496"/>
      <c r="M699" s="496"/>
      <c r="N699" s="496"/>
      <c r="O699" s="496"/>
      <c r="P699" s="496"/>
      <c r="Q699" s="496"/>
    </row>
    <row r="700" spans="12:17" x14ac:dyDescent="0.25">
      <c r="L700" s="496"/>
      <c r="M700" s="496"/>
      <c r="N700" s="496"/>
      <c r="O700" s="496"/>
      <c r="P700" s="496"/>
      <c r="Q700" s="496"/>
    </row>
    <row r="701" spans="12:17" x14ac:dyDescent="0.25">
      <c r="L701" s="496"/>
      <c r="M701" s="496"/>
      <c r="N701" s="496"/>
      <c r="O701" s="496"/>
      <c r="P701" s="496"/>
      <c r="Q701" s="496"/>
    </row>
    <row r="702" spans="12:17" x14ac:dyDescent="0.25">
      <c r="L702" s="496"/>
      <c r="M702" s="496"/>
      <c r="N702" s="496"/>
      <c r="O702" s="496"/>
      <c r="P702" s="496"/>
      <c r="Q702" s="496"/>
    </row>
    <row r="703" spans="12:17" x14ac:dyDescent="0.25">
      <c r="L703" s="496"/>
      <c r="M703" s="496"/>
      <c r="N703" s="496"/>
      <c r="O703" s="496"/>
      <c r="P703" s="496"/>
      <c r="Q703" s="496"/>
    </row>
    <row r="704" spans="12:17" x14ac:dyDescent="0.25">
      <c r="L704" s="496"/>
      <c r="M704" s="496"/>
      <c r="N704" s="496"/>
      <c r="O704" s="496"/>
      <c r="P704" s="496"/>
      <c r="Q704" s="496"/>
    </row>
    <row r="705" spans="12:17" x14ac:dyDescent="0.25">
      <c r="L705" s="496"/>
      <c r="M705" s="496"/>
      <c r="N705" s="496"/>
      <c r="O705" s="496"/>
      <c r="P705" s="496"/>
      <c r="Q705" s="496"/>
    </row>
    <row r="706" spans="12:17" x14ac:dyDescent="0.25">
      <c r="L706" s="496"/>
      <c r="M706" s="496"/>
      <c r="N706" s="496"/>
      <c r="O706" s="496"/>
      <c r="P706" s="496"/>
      <c r="Q706" s="496"/>
    </row>
    <row r="707" spans="12:17" x14ac:dyDescent="0.25">
      <c r="L707" s="496"/>
      <c r="M707" s="496"/>
      <c r="N707" s="496"/>
      <c r="O707" s="496"/>
      <c r="P707" s="496"/>
      <c r="Q707" s="496"/>
    </row>
    <row r="708" spans="12:17" x14ac:dyDescent="0.25">
      <c r="L708" s="496"/>
      <c r="M708" s="496"/>
      <c r="N708" s="496"/>
      <c r="O708" s="496"/>
      <c r="P708" s="496"/>
      <c r="Q708" s="496"/>
    </row>
    <row r="709" spans="12:17" x14ac:dyDescent="0.25">
      <c r="L709" s="496"/>
      <c r="M709" s="496"/>
      <c r="N709" s="496"/>
      <c r="O709" s="496"/>
      <c r="P709" s="496"/>
      <c r="Q709" s="496"/>
    </row>
    <row r="710" spans="12:17" x14ac:dyDescent="0.25">
      <c r="L710" s="496"/>
      <c r="M710" s="496"/>
      <c r="N710" s="496"/>
      <c r="O710" s="496"/>
      <c r="P710" s="496"/>
      <c r="Q710" s="496"/>
    </row>
    <row r="711" spans="12:17" x14ac:dyDescent="0.25">
      <c r="L711" s="496"/>
      <c r="M711" s="496"/>
      <c r="N711" s="496"/>
      <c r="O711" s="496"/>
      <c r="P711" s="496"/>
      <c r="Q711" s="496"/>
    </row>
    <row r="712" spans="12:17" x14ac:dyDescent="0.25">
      <c r="L712" s="496"/>
      <c r="M712" s="496"/>
      <c r="N712" s="496"/>
      <c r="O712" s="496"/>
      <c r="P712" s="496"/>
      <c r="Q712" s="496"/>
    </row>
    <row r="713" spans="12:17" x14ac:dyDescent="0.25">
      <c r="L713" s="496"/>
      <c r="M713" s="496"/>
      <c r="N713" s="496"/>
      <c r="O713" s="496"/>
      <c r="P713" s="496"/>
      <c r="Q713" s="496"/>
    </row>
    <row r="714" spans="12:17" x14ac:dyDescent="0.25">
      <c r="L714" s="496"/>
      <c r="M714" s="496"/>
      <c r="N714" s="496"/>
      <c r="O714" s="496"/>
      <c r="P714" s="496"/>
      <c r="Q714" s="496"/>
    </row>
    <row r="715" spans="12:17" x14ac:dyDescent="0.25">
      <c r="L715" s="496"/>
      <c r="M715" s="496"/>
      <c r="N715" s="496"/>
      <c r="O715" s="496"/>
      <c r="P715" s="496"/>
      <c r="Q715" s="496"/>
    </row>
    <row r="716" spans="12:17" x14ac:dyDescent="0.25">
      <c r="L716" s="496"/>
      <c r="M716" s="496"/>
      <c r="N716" s="496"/>
      <c r="O716" s="496"/>
      <c r="P716" s="496"/>
      <c r="Q716" s="496"/>
    </row>
    <row r="717" spans="12:17" x14ac:dyDescent="0.25">
      <c r="L717" s="496"/>
      <c r="M717" s="496"/>
      <c r="N717" s="496"/>
      <c r="O717" s="496"/>
      <c r="P717" s="496"/>
      <c r="Q717" s="496"/>
    </row>
    <row r="718" spans="12:17" x14ac:dyDescent="0.25">
      <c r="L718" s="496"/>
      <c r="M718" s="496"/>
      <c r="N718" s="496"/>
      <c r="O718" s="496"/>
      <c r="P718" s="496"/>
      <c r="Q718" s="496"/>
    </row>
    <row r="719" spans="12:17" x14ac:dyDescent="0.25">
      <c r="L719" s="496"/>
      <c r="M719" s="496"/>
      <c r="N719" s="496"/>
      <c r="O719" s="496"/>
      <c r="P719" s="496"/>
      <c r="Q719" s="496"/>
    </row>
    <row r="720" spans="12:17" x14ac:dyDescent="0.25">
      <c r="L720" s="496"/>
      <c r="M720" s="496"/>
      <c r="N720" s="496"/>
      <c r="O720" s="496"/>
      <c r="P720" s="496"/>
      <c r="Q720" s="496"/>
    </row>
    <row r="721" spans="12:17" x14ac:dyDescent="0.25">
      <c r="L721" s="496"/>
      <c r="M721" s="496"/>
      <c r="N721" s="496"/>
      <c r="O721" s="496"/>
      <c r="P721" s="496"/>
      <c r="Q721" s="496"/>
    </row>
    <row r="722" spans="12:17" x14ac:dyDescent="0.25">
      <c r="L722" s="496"/>
      <c r="M722" s="496"/>
      <c r="N722" s="496"/>
      <c r="O722" s="496"/>
      <c r="P722" s="496"/>
      <c r="Q722" s="496"/>
    </row>
    <row r="723" spans="12:17" x14ac:dyDescent="0.25">
      <c r="L723" s="496"/>
      <c r="M723" s="496"/>
      <c r="N723" s="496"/>
      <c r="O723" s="496"/>
      <c r="P723" s="496"/>
      <c r="Q723" s="496"/>
    </row>
    <row r="724" spans="12:17" x14ac:dyDescent="0.25">
      <c r="L724" s="496"/>
      <c r="M724" s="496"/>
      <c r="N724" s="496"/>
      <c r="O724" s="496"/>
      <c r="P724" s="496"/>
      <c r="Q724" s="496"/>
    </row>
    <row r="725" spans="12:17" x14ac:dyDescent="0.25">
      <c r="L725" s="496"/>
      <c r="M725" s="496"/>
      <c r="N725" s="496"/>
      <c r="O725" s="496"/>
      <c r="P725" s="496"/>
      <c r="Q725" s="496"/>
    </row>
    <row r="726" spans="12:17" x14ac:dyDescent="0.25">
      <c r="L726" s="496"/>
      <c r="M726" s="496"/>
      <c r="N726" s="496"/>
      <c r="O726" s="496"/>
      <c r="P726" s="496"/>
      <c r="Q726" s="496"/>
    </row>
    <row r="727" spans="12:17" x14ac:dyDescent="0.25">
      <c r="L727" s="496"/>
      <c r="M727" s="496"/>
      <c r="N727" s="496"/>
      <c r="O727" s="496"/>
      <c r="P727" s="496"/>
      <c r="Q727" s="496"/>
    </row>
    <row r="728" spans="12:17" x14ac:dyDescent="0.25">
      <c r="L728" s="496"/>
      <c r="M728" s="496"/>
      <c r="N728" s="496"/>
      <c r="O728" s="496"/>
      <c r="P728" s="496"/>
      <c r="Q728" s="496"/>
    </row>
    <row r="729" spans="12:17" x14ac:dyDescent="0.25">
      <c r="L729" s="496"/>
      <c r="M729" s="496"/>
      <c r="N729" s="496"/>
      <c r="O729" s="496"/>
      <c r="P729" s="496"/>
      <c r="Q729" s="496"/>
    </row>
    <row r="730" spans="12:17" x14ac:dyDescent="0.25">
      <c r="L730" s="496"/>
      <c r="M730" s="496"/>
      <c r="N730" s="496"/>
      <c r="O730" s="496"/>
      <c r="P730" s="496"/>
      <c r="Q730" s="496"/>
    </row>
    <row r="731" spans="12:17" x14ac:dyDescent="0.25">
      <c r="L731" s="496"/>
      <c r="M731" s="496"/>
      <c r="N731" s="496"/>
      <c r="O731" s="496"/>
      <c r="P731" s="496"/>
      <c r="Q731" s="496"/>
    </row>
    <row r="732" spans="12:17" x14ac:dyDescent="0.25">
      <c r="L732" s="496"/>
      <c r="M732" s="496"/>
      <c r="N732" s="496"/>
      <c r="O732" s="496"/>
      <c r="P732" s="496"/>
      <c r="Q732" s="496"/>
    </row>
    <row r="733" spans="12:17" x14ac:dyDescent="0.25">
      <c r="L733" s="496"/>
      <c r="M733" s="496"/>
      <c r="N733" s="496"/>
      <c r="O733" s="496"/>
      <c r="P733" s="496"/>
      <c r="Q733" s="496"/>
    </row>
    <row r="734" spans="12:17" x14ac:dyDescent="0.25">
      <c r="L734" s="496"/>
      <c r="M734" s="496"/>
      <c r="N734" s="496"/>
      <c r="O734" s="496"/>
      <c r="P734" s="496"/>
      <c r="Q734" s="496"/>
    </row>
    <row r="735" spans="12:17" x14ac:dyDescent="0.25">
      <c r="L735" s="496"/>
      <c r="M735" s="496"/>
      <c r="N735" s="496"/>
      <c r="O735" s="496"/>
      <c r="P735" s="496"/>
      <c r="Q735" s="496"/>
    </row>
    <row r="736" spans="12:17" x14ac:dyDescent="0.25">
      <c r="L736" s="496"/>
      <c r="M736" s="496"/>
      <c r="N736" s="496"/>
      <c r="O736" s="496"/>
      <c r="P736" s="496"/>
      <c r="Q736" s="496"/>
    </row>
    <row r="737" spans="12:17" x14ac:dyDescent="0.25">
      <c r="L737" s="496"/>
      <c r="M737" s="496"/>
      <c r="N737" s="496"/>
      <c r="O737" s="496"/>
      <c r="P737" s="496"/>
      <c r="Q737" s="496"/>
    </row>
    <row r="738" spans="12:17" x14ac:dyDescent="0.25">
      <c r="L738" s="496"/>
      <c r="M738" s="496"/>
      <c r="N738" s="496"/>
      <c r="O738" s="496"/>
      <c r="P738" s="496"/>
      <c r="Q738" s="496"/>
    </row>
    <row r="739" spans="12:17" x14ac:dyDescent="0.25">
      <c r="L739" s="496"/>
      <c r="M739" s="496"/>
      <c r="N739" s="496"/>
      <c r="O739" s="496"/>
      <c r="P739" s="496"/>
      <c r="Q739" s="496"/>
    </row>
    <row r="740" spans="12:17" x14ac:dyDescent="0.25">
      <c r="L740" s="496"/>
      <c r="M740" s="496"/>
      <c r="N740" s="496"/>
      <c r="O740" s="496"/>
      <c r="P740" s="496"/>
      <c r="Q740" s="496"/>
    </row>
    <row r="741" spans="12:17" x14ac:dyDescent="0.25">
      <c r="L741" s="496"/>
      <c r="M741" s="496"/>
      <c r="N741" s="496"/>
      <c r="O741" s="496"/>
      <c r="P741" s="496"/>
      <c r="Q741" s="496"/>
    </row>
    <row r="742" spans="12:17" x14ac:dyDescent="0.25">
      <c r="L742" s="496"/>
      <c r="M742" s="496"/>
      <c r="N742" s="496"/>
      <c r="O742" s="496"/>
      <c r="P742" s="496"/>
      <c r="Q742" s="496"/>
    </row>
    <row r="743" spans="12:17" x14ac:dyDescent="0.25">
      <c r="L743" s="496"/>
      <c r="M743" s="496"/>
      <c r="N743" s="496"/>
      <c r="O743" s="496"/>
      <c r="P743" s="496"/>
      <c r="Q743" s="496"/>
    </row>
    <row r="744" spans="12:17" x14ac:dyDescent="0.25">
      <c r="L744" s="496"/>
      <c r="M744" s="496"/>
      <c r="N744" s="496"/>
      <c r="O744" s="496"/>
      <c r="P744" s="496"/>
      <c r="Q744" s="496"/>
    </row>
    <row r="745" spans="12:17" x14ac:dyDescent="0.25">
      <c r="L745" s="496"/>
      <c r="M745" s="496"/>
      <c r="N745" s="496"/>
      <c r="O745" s="496"/>
      <c r="P745" s="496"/>
      <c r="Q745" s="496"/>
    </row>
    <row r="746" spans="12:17" x14ac:dyDescent="0.25">
      <c r="L746" s="496"/>
      <c r="M746" s="496"/>
      <c r="N746" s="496"/>
      <c r="O746" s="496"/>
      <c r="P746" s="496"/>
      <c r="Q746" s="496"/>
    </row>
    <row r="747" spans="12:17" x14ac:dyDescent="0.25">
      <c r="L747" s="496"/>
      <c r="M747" s="496"/>
      <c r="N747" s="496"/>
      <c r="O747" s="496"/>
      <c r="P747" s="496"/>
      <c r="Q747" s="496"/>
    </row>
    <row r="748" spans="12:17" x14ac:dyDescent="0.25">
      <c r="L748" s="496"/>
      <c r="M748" s="496"/>
      <c r="N748" s="496"/>
      <c r="O748" s="496"/>
      <c r="P748" s="496"/>
      <c r="Q748" s="496"/>
    </row>
    <row r="749" spans="12:17" x14ac:dyDescent="0.25">
      <c r="L749" s="496"/>
      <c r="M749" s="496"/>
      <c r="N749" s="496"/>
      <c r="O749" s="496"/>
      <c r="P749" s="496"/>
      <c r="Q749" s="496"/>
    </row>
    <row r="750" spans="12:17" x14ac:dyDescent="0.25">
      <c r="L750" s="496"/>
      <c r="M750" s="496"/>
      <c r="N750" s="496"/>
      <c r="O750" s="496"/>
      <c r="P750" s="496"/>
      <c r="Q750" s="496"/>
    </row>
    <row r="751" spans="12:17" x14ac:dyDescent="0.25">
      <c r="L751" s="496"/>
      <c r="M751" s="496"/>
      <c r="N751" s="496"/>
      <c r="O751" s="496"/>
      <c r="P751" s="496"/>
      <c r="Q751" s="496"/>
    </row>
    <row r="752" spans="12:17" x14ac:dyDescent="0.25">
      <c r="L752" s="496"/>
      <c r="M752" s="496"/>
      <c r="N752" s="496"/>
      <c r="O752" s="496"/>
      <c r="P752" s="496"/>
      <c r="Q752" s="496"/>
    </row>
    <row r="753" spans="12:17" x14ac:dyDescent="0.25">
      <c r="L753" s="496"/>
      <c r="M753" s="496"/>
      <c r="N753" s="496"/>
      <c r="O753" s="496"/>
      <c r="P753" s="496"/>
      <c r="Q753" s="496"/>
    </row>
    <row r="754" spans="12:17" x14ac:dyDescent="0.25">
      <c r="L754" s="496"/>
      <c r="M754" s="496"/>
      <c r="N754" s="496"/>
      <c r="O754" s="496"/>
      <c r="P754" s="496"/>
      <c r="Q754" s="496"/>
    </row>
    <row r="755" spans="12:17" x14ac:dyDescent="0.25">
      <c r="L755" s="496"/>
      <c r="M755" s="496"/>
      <c r="N755" s="496"/>
      <c r="O755" s="496"/>
      <c r="P755" s="496"/>
      <c r="Q755" s="496"/>
    </row>
    <row r="756" spans="12:17" x14ac:dyDescent="0.25">
      <c r="L756" s="496"/>
      <c r="M756" s="496"/>
      <c r="N756" s="496"/>
      <c r="O756" s="496"/>
      <c r="P756" s="496"/>
      <c r="Q756" s="496"/>
    </row>
    <row r="757" spans="12:17" x14ac:dyDescent="0.25">
      <c r="L757" s="496"/>
      <c r="M757" s="496"/>
      <c r="N757" s="496"/>
      <c r="O757" s="496"/>
      <c r="P757" s="496"/>
      <c r="Q757" s="496"/>
    </row>
    <row r="758" spans="12:17" x14ac:dyDescent="0.25">
      <c r="L758" s="496"/>
      <c r="M758" s="496"/>
      <c r="N758" s="496"/>
      <c r="O758" s="496"/>
      <c r="P758" s="496"/>
      <c r="Q758" s="496"/>
    </row>
    <row r="759" spans="12:17" x14ac:dyDescent="0.25">
      <c r="L759" s="496"/>
      <c r="M759" s="496"/>
      <c r="N759" s="496"/>
      <c r="O759" s="496"/>
      <c r="P759" s="496"/>
      <c r="Q759" s="496"/>
    </row>
    <row r="760" spans="12:17" x14ac:dyDescent="0.25">
      <c r="L760" s="496"/>
      <c r="M760" s="496"/>
      <c r="N760" s="496"/>
      <c r="O760" s="496"/>
      <c r="P760" s="496"/>
      <c r="Q760" s="496"/>
    </row>
    <row r="761" spans="12:17" x14ac:dyDescent="0.25">
      <c r="L761" s="496"/>
      <c r="M761" s="496"/>
      <c r="N761" s="496"/>
      <c r="O761" s="496"/>
      <c r="P761" s="496"/>
      <c r="Q761" s="496"/>
    </row>
    <row r="762" spans="12:17" x14ac:dyDescent="0.25">
      <c r="L762" s="496"/>
      <c r="M762" s="496"/>
      <c r="N762" s="496"/>
      <c r="O762" s="496"/>
      <c r="P762" s="496"/>
      <c r="Q762" s="496"/>
    </row>
    <row r="763" spans="12:17" x14ac:dyDescent="0.25">
      <c r="L763" s="496"/>
      <c r="M763" s="496"/>
      <c r="N763" s="496"/>
      <c r="O763" s="496"/>
      <c r="P763" s="496"/>
      <c r="Q763" s="496"/>
    </row>
    <row r="764" spans="12:17" x14ac:dyDescent="0.25">
      <c r="L764" s="496"/>
      <c r="M764" s="496"/>
      <c r="N764" s="496"/>
      <c r="O764" s="496"/>
      <c r="P764" s="496"/>
      <c r="Q764" s="496"/>
    </row>
    <row r="765" spans="12:17" x14ac:dyDescent="0.25">
      <c r="L765" s="496"/>
      <c r="M765" s="496"/>
      <c r="N765" s="496"/>
      <c r="O765" s="496"/>
      <c r="P765" s="496"/>
      <c r="Q765" s="496"/>
    </row>
    <row r="766" spans="12:17" x14ac:dyDescent="0.25">
      <c r="L766" s="496"/>
      <c r="M766" s="496"/>
      <c r="N766" s="496"/>
      <c r="O766" s="496"/>
      <c r="P766" s="496"/>
      <c r="Q766" s="496"/>
    </row>
    <row r="767" spans="12:17" x14ac:dyDescent="0.25">
      <c r="L767" s="496"/>
      <c r="M767" s="496"/>
      <c r="N767" s="496"/>
      <c r="O767" s="496"/>
      <c r="P767" s="496"/>
      <c r="Q767" s="496"/>
    </row>
    <row r="768" spans="12:17" x14ac:dyDescent="0.25">
      <c r="L768" s="496"/>
      <c r="M768" s="496"/>
      <c r="N768" s="496"/>
      <c r="O768" s="496"/>
      <c r="P768" s="496"/>
      <c r="Q768" s="496"/>
    </row>
    <row r="769" spans="12:17" x14ac:dyDescent="0.25">
      <c r="L769" s="496"/>
      <c r="M769" s="496"/>
      <c r="N769" s="496"/>
      <c r="O769" s="496"/>
      <c r="P769" s="496"/>
      <c r="Q769" s="496"/>
    </row>
    <row r="770" spans="12:17" x14ac:dyDescent="0.25">
      <c r="L770" s="496"/>
      <c r="M770" s="496"/>
      <c r="N770" s="496"/>
      <c r="O770" s="496"/>
      <c r="P770" s="496"/>
      <c r="Q770" s="496"/>
    </row>
    <row r="771" spans="12:17" x14ac:dyDescent="0.25">
      <c r="L771" s="496"/>
      <c r="M771" s="496"/>
      <c r="N771" s="496"/>
      <c r="O771" s="496"/>
      <c r="P771" s="496"/>
      <c r="Q771" s="496"/>
    </row>
    <row r="772" spans="12:17" x14ac:dyDescent="0.25">
      <c r="L772" s="496"/>
      <c r="M772" s="496"/>
      <c r="N772" s="496"/>
      <c r="O772" s="496"/>
      <c r="P772" s="496"/>
      <c r="Q772" s="496"/>
    </row>
    <row r="773" spans="12:17" x14ac:dyDescent="0.25">
      <c r="L773" s="496"/>
      <c r="M773" s="496"/>
      <c r="N773" s="496"/>
      <c r="O773" s="496"/>
      <c r="P773" s="496"/>
      <c r="Q773" s="496"/>
    </row>
    <row r="774" spans="12:17" x14ac:dyDescent="0.25">
      <c r="L774" s="496"/>
      <c r="M774" s="496"/>
      <c r="N774" s="496"/>
      <c r="O774" s="496"/>
      <c r="P774" s="496"/>
      <c r="Q774" s="496"/>
    </row>
    <row r="775" spans="12:17" x14ac:dyDescent="0.25">
      <c r="L775" s="496"/>
      <c r="M775" s="496"/>
      <c r="N775" s="496"/>
      <c r="O775" s="496"/>
      <c r="P775" s="496"/>
      <c r="Q775" s="496"/>
    </row>
    <row r="776" spans="12:17" x14ac:dyDescent="0.25">
      <c r="L776" s="496"/>
      <c r="M776" s="496"/>
      <c r="N776" s="496"/>
      <c r="O776" s="496"/>
      <c r="P776" s="496"/>
      <c r="Q776" s="496"/>
    </row>
    <row r="777" spans="12:17" x14ac:dyDescent="0.25">
      <c r="L777" s="496"/>
      <c r="M777" s="496"/>
      <c r="N777" s="496"/>
      <c r="O777" s="496"/>
      <c r="P777" s="496"/>
      <c r="Q777" s="496"/>
    </row>
    <row r="778" spans="12:17" x14ac:dyDescent="0.25">
      <c r="L778" s="496"/>
      <c r="M778" s="496"/>
      <c r="N778" s="496"/>
      <c r="O778" s="496"/>
      <c r="P778" s="496"/>
      <c r="Q778" s="496"/>
    </row>
    <row r="779" spans="12:17" x14ac:dyDescent="0.25">
      <c r="L779" s="496"/>
      <c r="M779" s="496"/>
      <c r="N779" s="496"/>
      <c r="O779" s="496"/>
      <c r="P779" s="496"/>
      <c r="Q779" s="496"/>
    </row>
    <row r="780" spans="12:17" x14ac:dyDescent="0.25">
      <c r="L780" s="496"/>
      <c r="M780" s="496"/>
      <c r="N780" s="496"/>
      <c r="O780" s="496"/>
      <c r="P780" s="496"/>
      <c r="Q780" s="496"/>
    </row>
    <row r="781" spans="12:17" x14ac:dyDescent="0.25">
      <c r="L781" s="496"/>
      <c r="M781" s="496"/>
      <c r="N781" s="496"/>
      <c r="O781" s="496"/>
      <c r="P781" s="496"/>
      <c r="Q781" s="496"/>
    </row>
    <row r="782" spans="12:17" x14ac:dyDescent="0.25">
      <c r="L782" s="496"/>
      <c r="M782" s="496"/>
      <c r="N782" s="496"/>
      <c r="O782" s="496"/>
      <c r="P782" s="496"/>
      <c r="Q782" s="496"/>
    </row>
    <row r="783" spans="12:17" x14ac:dyDescent="0.25">
      <c r="L783" s="496"/>
      <c r="M783" s="496"/>
      <c r="N783" s="496"/>
      <c r="O783" s="496"/>
      <c r="P783" s="496"/>
      <c r="Q783" s="496"/>
    </row>
    <row r="784" spans="12:17" x14ac:dyDescent="0.25">
      <c r="L784" s="496"/>
      <c r="M784" s="496"/>
      <c r="N784" s="496"/>
      <c r="O784" s="496"/>
      <c r="P784" s="496"/>
      <c r="Q784" s="496"/>
    </row>
    <row r="785" spans="12:17" x14ac:dyDescent="0.25">
      <c r="L785" s="496"/>
      <c r="M785" s="496"/>
      <c r="N785" s="496"/>
      <c r="O785" s="496"/>
      <c r="P785" s="496"/>
      <c r="Q785" s="496"/>
    </row>
    <row r="786" spans="12:17" x14ac:dyDescent="0.25">
      <c r="L786" s="496"/>
      <c r="M786" s="496"/>
      <c r="N786" s="496"/>
      <c r="O786" s="496"/>
      <c r="P786" s="496"/>
      <c r="Q786" s="496"/>
    </row>
    <row r="787" spans="12:17" x14ac:dyDescent="0.25">
      <c r="L787" s="496"/>
      <c r="M787" s="496"/>
      <c r="N787" s="496"/>
      <c r="O787" s="496"/>
      <c r="P787" s="496"/>
      <c r="Q787" s="496"/>
    </row>
    <row r="788" spans="12:17" x14ac:dyDescent="0.25">
      <c r="L788" s="496"/>
      <c r="M788" s="496"/>
      <c r="N788" s="496"/>
      <c r="O788" s="496"/>
      <c r="P788" s="496"/>
      <c r="Q788" s="496"/>
    </row>
    <row r="789" spans="12:17" x14ac:dyDescent="0.25">
      <c r="L789" s="496"/>
      <c r="M789" s="496"/>
      <c r="N789" s="496"/>
      <c r="O789" s="496"/>
      <c r="P789" s="496"/>
      <c r="Q789" s="496"/>
    </row>
    <row r="790" spans="12:17" x14ac:dyDescent="0.25">
      <c r="L790" s="496"/>
      <c r="M790" s="496"/>
      <c r="N790" s="496"/>
      <c r="O790" s="496"/>
      <c r="P790" s="496"/>
      <c r="Q790" s="496"/>
    </row>
    <row r="791" spans="12:17" x14ac:dyDescent="0.25">
      <c r="L791" s="496"/>
      <c r="M791" s="496"/>
      <c r="N791" s="496"/>
      <c r="O791" s="496"/>
      <c r="P791" s="496"/>
      <c r="Q791" s="496"/>
    </row>
    <row r="792" spans="12:17" x14ac:dyDescent="0.25">
      <c r="L792" s="496"/>
      <c r="M792" s="496"/>
      <c r="N792" s="496"/>
      <c r="O792" s="496"/>
      <c r="P792" s="496"/>
      <c r="Q792" s="496"/>
    </row>
    <row r="793" spans="12:17" x14ac:dyDescent="0.25">
      <c r="L793" s="496"/>
      <c r="M793" s="496"/>
      <c r="N793" s="496"/>
      <c r="O793" s="496"/>
      <c r="P793" s="496"/>
      <c r="Q793" s="496"/>
    </row>
    <row r="794" spans="12:17" x14ac:dyDescent="0.25">
      <c r="L794" s="496"/>
      <c r="M794" s="496"/>
      <c r="N794" s="496"/>
      <c r="O794" s="496"/>
      <c r="P794" s="496"/>
      <c r="Q794" s="496"/>
    </row>
    <row r="795" spans="12:17" x14ac:dyDescent="0.25">
      <c r="L795" s="496"/>
      <c r="M795" s="496"/>
      <c r="N795" s="496"/>
      <c r="O795" s="496"/>
      <c r="P795" s="496"/>
      <c r="Q795" s="496"/>
    </row>
    <row r="796" spans="12:17" x14ac:dyDescent="0.25">
      <c r="L796" s="496"/>
      <c r="M796" s="496"/>
      <c r="N796" s="496"/>
      <c r="O796" s="496"/>
      <c r="P796" s="496"/>
      <c r="Q796" s="496"/>
    </row>
    <row r="797" spans="12:17" x14ac:dyDescent="0.25">
      <c r="L797" s="496"/>
      <c r="M797" s="496"/>
      <c r="N797" s="496"/>
      <c r="O797" s="496"/>
      <c r="P797" s="496"/>
      <c r="Q797" s="496"/>
    </row>
    <row r="798" spans="12:17" x14ac:dyDescent="0.25">
      <c r="L798" s="496"/>
      <c r="M798" s="496"/>
      <c r="N798" s="496"/>
      <c r="O798" s="496"/>
      <c r="P798" s="496"/>
      <c r="Q798" s="496"/>
    </row>
    <row r="799" spans="12:17" x14ac:dyDescent="0.25">
      <c r="L799" s="496"/>
      <c r="M799" s="496"/>
      <c r="N799" s="496"/>
      <c r="O799" s="496"/>
      <c r="P799" s="496"/>
      <c r="Q799" s="496"/>
    </row>
    <row r="800" spans="12:17" x14ac:dyDescent="0.25">
      <c r="L800" s="496"/>
      <c r="M800" s="496"/>
      <c r="N800" s="496"/>
      <c r="O800" s="496"/>
      <c r="P800" s="496"/>
      <c r="Q800" s="496"/>
    </row>
    <row r="801" spans="12:17" x14ac:dyDescent="0.25">
      <c r="L801" s="496"/>
      <c r="M801" s="496"/>
      <c r="N801" s="496"/>
      <c r="O801" s="496"/>
      <c r="P801" s="496"/>
      <c r="Q801" s="496"/>
    </row>
    <row r="802" spans="12:17" x14ac:dyDescent="0.25">
      <c r="L802" s="496"/>
      <c r="M802" s="496"/>
      <c r="N802" s="496"/>
      <c r="O802" s="496"/>
      <c r="P802" s="496"/>
      <c r="Q802" s="496"/>
    </row>
    <row r="803" spans="12:17" x14ac:dyDescent="0.25">
      <c r="L803" s="496"/>
      <c r="M803" s="496"/>
      <c r="N803" s="496"/>
      <c r="O803" s="496"/>
      <c r="P803" s="496"/>
      <c r="Q803" s="496"/>
    </row>
    <row r="804" spans="12:17" x14ac:dyDescent="0.25">
      <c r="L804" s="496"/>
      <c r="M804" s="496"/>
      <c r="N804" s="496"/>
      <c r="O804" s="496"/>
      <c r="P804" s="496"/>
      <c r="Q804" s="496"/>
    </row>
    <row r="805" spans="12:17" x14ac:dyDescent="0.25">
      <c r="L805" s="496"/>
      <c r="M805" s="496"/>
      <c r="N805" s="496"/>
      <c r="O805" s="496"/>
      <c r="P805" s="496"/>
      <c r="Q805" s="496"/>
    </row>
    <row r="806" spans="12:17" x14ac:dyDescent="0.25">
      <c r="L806" s="496"/>
      <c r="M806" s="496"/>
      <c r="N806" s="496"/>
      <c r="O806" s="496"/>
      <c r="P806" s="496"/>
      <c r="Q806" s="496"/>
    </row>
    <row r="807" spans="12:17" x14ac:dyDescent="0.25">
      <c r="L807" s="496"/>
      <c r="M807" s="496"/>
      <c r="N807" s="496"/>
      <c r="O807" s="496"/>
      <c r="P807" s="496"/>
      <c r="Q807" s="496"/>
    </row>
    <row r="808" spans="12:17" x14ac:dyDescent="0.25">
      <c r="L808" s="496"/>
      <c r="M808" s="496"/>
      <c r="N808" s="496"/>
      <c r="O808" s="496"/>
      <c r="P808" s="496"/>
      <c r="Q808" s="496"/>
    </row>
    <row r="809" spans="12:17" x14ac:dyDescent="0.25">
      <c r="L809" s="496"/>
      <c r="M809" s="496"/>
      <c r="N809" s="496"/>
      <c r="O809" s="496"/>
      <c r="P809" s="496"/>
      <c r="Q809" s="496"/>
    </row>
    <row r="810" spans="12:17" x14ac:dyDescent="0.25">
      <c r="L810" s="496"/>
      <c r="M810" s="496"/>
      <c r="N810" s="496"/>
      <c r="O810" s="496"/>
      <c r="P810" s="496"/>
      <c r="Q810" s="496"/>
    </row>
    <row r="811" spans="12:17" x14ac:dyDescent="0.25">
      <c r="L811" s="496"/>
      <c r="M811" s="496"/>
      <c r="N811" s="496"/>
      <c r="O811" s="496"/>
      <c r="P811" s="496"/>
      <c r="Q811" s="496"/>
    </row>
    <row r="812" spans="12:17" x14ac:dyDescent="0.25">
      <c r="L812" s="496"/>
      <c r="M812" s="496"/>
      <c r="N812" s="496"/>
      <c r="O812" s="496"/>
      <c r="P812" s="496"/>
      <c r="Q812" s="496"/>
    </row>
    <row r="813" spans="12:17" x14ac:dyDescent="0.25">
      <c r="L813" s="496"/>
      <c r="M813" s="496"/>
      <c r="N813" s="496"/>
      <c r="O813" s="496"/>
      <c r="P813" s="496"/>
      <c r="Q813" s="496"/>
    </row>
    <row r="814" spans="12:17" x14ac:dyDescent="0.25">
      <c r="L814" s="496"/>
      <c r="M814" s="496"/>
      <c r="N814" s="496"/>
      <c r="O814" s="496"/>
      <c r="P814" s="496"/>
      <c r="Q814" s="496"/>
    </row>
    <row r="815" spans="12:17" x14ac:dyDescent="0.25">
      <c r="L815" s="496"/>
      <c r="M815" s="496"/>
      <c r="N815" s="496"/>
      <c r="O815" s="496"/>
      <c r="P815" s="496"/>
      <c r="Q815" s="496"/>
    </row>
    <row r="816" spans="12:17" x14ac:dyDescent="0.25">
      <c r="L816" s="496"/>
      <c r="M816" s="496"/>
      <c r="N816" s="496"/>
      <c r="O816" s="496"/>
      <c r="P816" s="496"/>
      <c r="Q816" s="496"/>
    </row>
    <row r="817" spans="12:17" x14ac:dyDescent="0.25">
      <c r="L817" s="496"/>
      <c r="M817" s="496"/>
      <c r="N817" s="496"/>
      <c r="O817" s="496"/>
      <c r="P817" s="496"/>
      <c r="Q817" s="496"/>
    </row>
    <row r="818" spans="12:17" x14ac:dyDescent="0.25">
      <c r="L818" s="496"/>
      <c r="M818" s="496"/>
      <c r="N818" s="496"/>
      <c r="O818" s="496"/>
      <c r="P818" s="496"/>
      <c r="Q818" s="496"/>
    </row>
    <row r="819" spans="12:17" x14ac:dyDescent="0.25">
      <c r="L819" s="496"/>
      <c r="M819" s="496"/>
      <c r="N819" s="496"/>
      <c r="O819" s="496"/>
      <c r="P819" s="496"/>
      <c r="Q819" s="496"/>
    </row>
    <row r="820" spans="12:17" x14ac:dyDescent="0.25">
      <c r="L820" s="496"/>
      <c r="M820" s="496"/>
      <c r="N820" s="496"/>
      <c r="O820" s="496"/>
      <c r="P820" s="496"/>
      <c r="Q820" s="496"/>
    </row>
    <row r="821" spans="12:17" x14ac:dyDescent="0.25">
      <c r="Q821" s="496"/>
    </row>
    <row r="822" spans="12:17" x14ac:dyDescent="0.25">
      <c r="Q822" s="496"/>
    </row>
    <row r="823" spans="12:17" x14ac:dyDescent="0.25">
      <c r="Q823" s="496"/>
    </row>
    <row r="824" spans="12:17" x14ac:dyDescent="0.25">
      <c r="Q824" s="496"/>
    </row>
    <row r="825" spans="12:17" x14ac:dyDescent="0.25">
      <c r="Q825" s="496"/>
    </row>
    <row r="826" spans="12:17" x14ac:dyDescent="0.25">
      <c r="Q826" s="496"/>
    </row>
    <row r="827" spans="12:17" x14ac:dyDescent="0.25">
      <c r="Q827" s="496"/>
    </row>
    <row r="828" spans="12:17" x14ac:dyDescent="0.25">
      <c r="Q828" s="496"/>
    </row>
    <row r="829" spans="12:17" x14ac:dyDescent="0.25">
      <c r="Q829" s="496"/>
    </row>
    <row r="830" spans="12:17" x14ac:dyDescent="0.25">
      <c r="Q830" s="496"/>
    </row>
    <row r="831" spans="12:17" x14ac:dyDescent="0.25">
      <c r="Q831" s="496"/>
    </row>
    <row r="832" spans="12:17" x14ac:dyDescent="0.25">
      <c r="Q832" s="496"/>
    </row>
    <row r="833" spans="17:17" x14ac:dyDescent="0.25">
      <c r="Q833" s="496"/>
    </row>
    <row r="834" spans="17:17" x14ac:dyDescent="0.25">
      <c r="Q834" s="496"/>
    </row>
    <row r="835" spans="17:17" x14ac:dyDescent="0.25">
      <c r="Q835" s="496"/>
    </row>
    <row r="836" spans="17:17" x14ac:dyDescent="0.25">
      <c r="Q836" s="496"/>
    </row>
  </sheetData>
  <sheetProtection algorithmName="SHA-512" hashValue="f7aVA3aMoeP6uI1S1HEeBY6ev9GI99eEXUy4tWNGMxgNwwlFJtX88pEY4H4Y7uceztVl67wxDZMa4sj+u3iROg==" saltValue="lSdoAh2RPjovPc81Jza65A==" spinCount="100000" sheet="1" objects="1" scenarios="1"/>
  <mergeCells count="25">
    <mergeCell ref="G60:H60"/>
    <mergeCell ref="D66:H66"/>
    <mergeCell ref="A67:H67"/>
    <mergeCell ref="A68:H68"/>
    <mergeCell ref="B46:C46"/>
    <mergeCell ref="F46:G46"/>
    <mergeCell ref="B49:B50"/>
    <mergeCell ref="G49:H49"/>
    <mergeCell ref="G51:H51"/>
    <mergeCell ref="B58:B59"/>
    <mergeCell ref="G58:H58"/>
    <mergeCell ref="B45:C45"/>
    <mergeCell ref="F45:G45"/>
    <mergeCell ref="E15:E16"/>
    <mergeCell ref="G15:H15"/>
    <mergeCell ref="E17:E19"/>
    <mergeCell ref="E20:E22"/>
    <mergeCell ref="E23:E25"/>
    <mergeCell ref="E29:E30"/>
    <mergeCell ref="G29:H29"/>
    <mergeCell ref="E31:E33"/>
    <mergeCell ref="E34:E36"/>
    <mergeCell ref="E37:E39"/>
    <mergeCell ref="B44:C44"/>
    <mergeCell ref="F44:G44"/>
  </mergeCells>
  <conditionalFormatting sqref="F17:F25">
    <cfRule type="expression" dxfId="130" priority="25">
      <formula>"Si(B17=""CR"")"</formula>
    </cfRule>
  </conditionalFormatting>
  <conditionalFormatting sqref="F61">
    <cfRule type="cellIs" dxfId="129" priority="24" operator="greaterThan">
      <formula>0.3</formula>
    </cfRule>
  </conditionalFormatting>
  <conditionalFormatting sqref="F61">
    <cfRule type="containsBlanks" dxfId="128" priority="23">
      <formula>LEN(TRIM(F61))=0</formula>
    </cfRule>
  </conditionalFormatting>
  <conditionalFormatting sqref="F53 F62">
    <cfRule type="colorScale" priority="22">
      <colorScale>
        <cfvo type="num" val="1E-4"/>
        <cfvo type="num" val="0.3"/>
        <color rgb="FFFFFFEB"/>
        <color rgb="FFFFD1D1"/>
      </colorScale>
    </cfRule>
  </conditionalFormatting>
  <conditionalFormatting sqref="F31:F39">
    <cfRule type="expression" dxfId="127" priority="21">
      <formula>"Si(B17=""CR"")"</formula>
    </cfRule>
  </conditionalFormatting>
  <dataValidations count="4">
    <dataValidation allowBlank="1" showInputMessage="1" showErrorMessage="1" prompt="automatique selon l'équipement déclaré à l'onglet &quot;éqpmt&quot;" sqref="B47 B56 B27 B13" xr:uid="{745FE0D2-689C-4BBD-B381-97D5011AB580}"/>
    <dataValidation type="list" allowBlank="1" showInputMessage="1" showErrorMessage="1" sqref="B46:C46 B8:C8" xr:uid="{97F5AAA8-E407-4AE5-9A4B-F1D262A7672C}">
      <formula1>$P$13:$P$19</formula1>
    </dataValidation>
    <dataValidation type="list" allowBlank="1" showInputMessage="1" showErrorMessage="1" sqref="C47 C56" xr:uid="{700550BA-B235-4E0D-BD01-633F0C4D8C1A}">
      <formula1>$L$13:$L$16</formula1>
    </dataValidation>
    <dataValidation type="list" allowBlank="1" showInputMessage="1" showErrorMessage="1" sqref="B5:C5" xr:uid="{CC3678E1-4F75-4C4A-A941-D584C0A0F9C5}">
      <formula1>$L$13:$L$15</formula1>
    </dataValidation>
  </dataValidations>
  <printOptions horizontalCentered="1"/>
  <pageMargins left="0.70866141732283472" right="0.70866141732283472" top="0.74803149606299213" bottom="0.74803149606299213" header="0.31496062992125984" footer="0.31496062992125984"/>
  <pageSetup paperSize="120" scale="75" firstPageNumber="0" orientation="portrait" r:id="rId1"/>
  <headerFooter>
    <oddFooter>&amp;CPage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8">
    <tabColor theme="5" tint="-0.249977111117893"/>
    <pageSetUpPr fitToPage="1"/>
  </sheetPr>
  <dimension ref="A1:Z1097"/>
  <sheetViews>
    <sheetView zoomScaleNormal="100" workbookViewId="0">
      <selection activeCell="B13" sqref="B13"/>
    </sheetView>
  </sheetViews>
  <sheetFormatPr baseColWidth="10" defaultRowHeight="13.2" x14ac:dyDescent="0.25"/>
  <cols>
    <col min="1" max="1" width="28.6640625" style="172" customWidth="1"/>
    <col min="2" max="8" width="12.6640625" style="172" customWidth="1"/>
    <col min="9" max="9" width="6.6640625" style="182" customWidth="1"/>
    <col min="10" max="11" width="6.6640625" style="172" customWidth="1"/>
    <col min="12" max="12" width="7.5546875" style="172" customWidth="1"/>
    <col min="13" max="14" width="6.6640625" style="172" customWidth="1"/>
    <col min="15" max="15" width="8.5546875" style="172" customWidth="1"/>
    <col min="16" max="16" width="12.44140625" style="172" customWidth="1"/>
    <col min="17" max="17" width="10.88671875" style="172" customWidth="1"/>
    <col min="18" max="18" width="6.6640625" style="172" customWidth="1"/>
    <col min="19" max="19" width="8.6640625" style="172" customWidth="1"/>
    <col min="20" max="20" width="9.109375" style="172" customWidth="1"/>
    <col min="21" max="256" width="10.6640625" style="172"/>
    <col min="257" max="257" width="6.6640625" style="172" customWidth="1"/>
    <col min="258" max="258" width="1.5546875" style="172" customWidth="1"/>
    <col min="259" max="259" width="9.33203125" style="172" customWidth="1"/>
    <col min="260" max="260" width="1.5546875" style="172" customWidth="1"/>
    <col min="261" max="261" width="6.6640625" style="172" customWidth="1"/>
    <col min="262" max="264" width="9.33203125" style="172" customWidth="1"/>
    <col min="265" max="265" width="11" style="172" customWidth="1"/>
    <col min="266" max="267" width="6.6640625" style="172" customWidth="1"/>
    <col min="268" max="268" width="5.6640625" style="172" customWidth="1"/>
    <col min="269" max="269" width="6.6640625" style="172" customWidth="1"/>
    <col min="270" max="270" width="1.5546875" style="172" customWidth="1"/>
    <col min="271" max="271" width="6.33203125" style="172" customWidth="1"/>
    <col min="272" max="276" width="6.6640625" style="172" customWidth="1"/>
    <col min="277" max="512" width="10.6640625" style="172"/>
    <col min="513" max="513" width="6.6640625" style="172" customWidth="1"/>
    <col min="514" max="514" width="1.5546875" style="172" customWidth="1"/>
    <col min="515" max="515" width="9.33203125" style="172" customWidth="1"/>
    <col min="516" max="516" width="1.5546875" style="172" customWidth="1"/>
    <col min="517" max="517" width="6.6640625" style="172" customWidth="1"/>
    <col min="518" max="520" width="9.33203125" style="172" customWidth="1"/>
    <col min="521" max="521" width="11" style="172" customWidth="1"/>
    <col min="522" max="523" width="6.6640625" style="172" customWidth="1"/>
    <col min="524" max="524" width="5.6640625" style="172" customWidth="1"/>
    <col min="525" max="525" width="6.6640625" style="172" customWidth="1"/>
    <col min="526" max="526" width="1.5546875" style="172" customWidth="1"/>
    <col min="527" max="527" width="6.33203125" style="172" customWidth="1"/>
    <col min="528" max="532" width="6.6640625" style="172" customWidth="1"/>
    <col min="533" max="768" width="10.6640625" style="172"/>
    <col min="769" max="769" width="6.6640625" style="172" customWidth="1"/>
    <col min="770" max="770" width="1.5546875" style="172" customWidth="1"/>
    <col min="771" max="771" width="9.33203125" style="172" customWidth="1"/>
    <col min="772" max="772" width="1.5546875" style="172" customWidth="1"/>
    <col min="773" max="773" width="6.6640625" style="172" customWidth="1"/>
    <col min="774" max="776" width="9.33203125" style="172" customWidth="1"/>
    <col min="777" max="777" width="11" style="172" customWidth="1"/>
    <col min="778" max="779" width="6.6640625" style="172" customWidth="1"/>
    <col min="780" max="780" width="5.6640625" style="172" customWidth="1"/>
    <col min="781" max="781" width="6.6640625" style="172" customWidth="1"/>
    <col min="782" max="782" width="1.5546875" style="172" customWidth="1"/>
    <col min="783" max="783" width="6.33203125" style="172" customWidth="1"/>
    <col min="784" max="788" width="6.6640625" style="172" customWidth="1"/>
    <col min="789" max="1024" width="10.6640625" style="172"/>
    <col min="1025" max="1025" width="6.6640625" style="172" customWidth="1"/>
    <col min="1026" max="1026" width="1.5546875" style="172" customWidth="1"/>
    <col min="1027" max="1027" width="9.33203125" style="172" customWidth="1"/>
    <col min="1028" max="1028" width="1.5546875" style="172" customWidth="1"/>
    <col min="1029" max="1029" width="6.6640625" style="172" customWidth="1"/>
    <col min="1030" max="1032" width="9.33203125" style="172" customWidth="1"/>
    <col min="1033" max="1033" width="11" style="172" customWidth="1"/>
    <col min="1034" max="1035" width="6.6640625" style="172" customWidth="1"/>
    <col min="1036" max="1036" width="5.6640625" style="172" customWidth="1"/>
    <col min="1037" max="1037" width="6.6640625" style="172" customWidth="1"/>
    <col min="1038" max="1038" width="1.5546875" style="172" customWidth="1"/>
    <col min="1039" max="1039" width="6.33203125" style="172" customWidth="1"/>
    <col min="1040" max="1044" width="6.6640625" style="172" customWidth="1"/>
    <col min="1045" max="1280" width="10.6640625" style="172"/>
    <col min="1281" max="1281" width="6.6640625" style="172" customWidth="1"/>
    <col min="1282" max="1282" width="1.5546875" style="172" customWidth="1"/>
    <col min="1283" max="1283" width="9.33203125" style="172" customWidth="1"/>
    <col min="1284" max="1284" width="1.5546875" style="172" customWidth="1"/>
    <col min="1285" max="1285" width="6.6640625" style="172" customWidth="1"/>
    <col min="1286" max="1288" width="9.33203125" style="172" customWidth="1"/>
    <col min="1289" max="1289" width="11" style="172" customWidth="1"/>
    <col min="1290" max="1291" width="6.6640625" style="172" customWidth="1"/>
    <col min="1292" max="1292" width="5.6640625" style="172" customWidth="1"/>
    <col min="1293" max="1293" width="6.6640625" style="172" customWidth="1"/>
    <col min="1294" max="1294" width="1.5546875" style="172" customWidth="1"/>
    <col min="1295" max="1295" width="6.33203125" style="172" customWidth="1"/>
    <col min="1296" max="1300" width="6.6640625" style="172" customWidth="1"/>
    <col min="1301" max="1536" width="10.6640625" style="172"/>
    <col min="1537" max="1537" width="6.6640625" style="172" customWidth="1"/>
    <col min="1538" max="1538" width="1.5546875" style="172" customWidth="1"/>
    <col min="1539" max="1539" width="9.33203125" style="172" customWidth="1"/>
    <col min="1540" max="1540" width="1.5546875" style="172" customWidth="1"/>
    <col min="1541" max="1541" width="6.6640625" style="172" customWidth="1"/>
    <col min="1542" max="1544" width="9.33203125" style="172" customWidth="1"/>
    <col min="1545" max="1545" width="11" style="172" customWidth="1"/>
    <col min="1546" max="1547" width="6.6640625" style="172" customWidth="1"/>
    <col min="1548" max="1548" width="5.6640625" style="172" customWidth="1"/>
    <col min="1549" max="1549" width="6.6640625" style="172" customWidth="1"/>
    <col min="1550" max="1550" width="1.5546875" style="172" customWidth="1"/>
    <col min="1551" max="1551" width="6.33203125" style="172" customWidth="1"/>
    <col min="1552" max="1556" width="6.6640625" style="172" customWidth="1"/>
    <col min="1557" max="1792" width="10.6640625" style="172"/>
    <col min="1793" max="1793" width="6.6640625" style="172" customWidth="1"/>
    <col min="1794" max="1794" width="1.5546875" style="172" customWidth="1"/>
    <col min="1795" max="1795" width="9.33203125" style="172" customWidth="1"/>
    <col min="1796" max="1796" width="1.5546875" style="172" customWidth="1"/>
    <col min="1797" max="1797" width="6.6640625" style="172" customWidth="1"/>
    <col min="1798" max="1800" width="9.33203125" style="172" customWidth="1"/>
    <col min="1801" max="1801" width="11" style="172" customWidth="1"/>
    <col min="1802" max="1803" width="6.6640625" style="172" customWidth="1"/>
    <col min="1804" max="1804" width="5.6640625" style="172" customWidth="1"/>
    <col min="1805" max="1805" width="6.6640625" style="172" customWidth="1"/>
    <col min="1806" max="1806" width="1.5546875" style="172" customWidth="1"/>
    <col min="1807" max="1807" width="6.33203125" style="172" customWidth="1"/>
    <col min="1808" max="1812" width="6.6640625" style="172" customWidth="1"/>
    <col min="1813" max="2048" width="10.6640625" style="172"/>
    <col min="2049" max="2049" width="6.6640625" style="172" customWidth="1"/>
    <col min="2050" max="2050" width="1.5546875" style="172" customWidth="1"/>
    <col min="2051" max="2051" width="9.33203125" style="172" customWidth="1"/>
    <col min="2052" max="2052" width="1.5546875" style="172" customWidth="1"/>
    <col min="2053" max="2053" width="6.6640625" style="172" customWidth="1"/>
    <col min="2054" max="2056" width="9.33203125" style="172" customWidth="1"/>
    <col min="2057" max="2057" width="11" style="172" customWidth="1"/>
    <col min="2058" max="2059" width="6.6640625" style="172" customWidth="1"/>
    <col min="2060" max="2060" width="5.6640625" style="172" customWidth="1"/>
    <col min="2061" max="2061" width="6.6640625" style="172" customWidth="1"/>
    <col min="2062" max="2062" width="1.5546875" style="172" customWidth="1"/>
    <col min="2063" max="2063" width="6.33203125" style="172" customWidth="1"/>
    <col min="2064" max="2068" width="6.6640625" style="172" customWidth="1"/>
    <col min="2069" max="2304" width="10.6640625" style="172"/>
    <col min="2305" max="2305" width="6.6640625" style="172" customWidth="1"/>
    <col min="2306" max="2306" width="1.5546875" style="172" customWidth="1"/>
    <col min="2307" max="2307" width="9.33203125" style="172" customWidth="1"/>
    <col min="2308" max="2308" width="1.5546875" style="172" customWidth="1"/>
    <col min="2309" max="2309" width="6.6640625" style="172" customWidth="1"/>
    <col min="2310" max="2312" width="9.33203125" style="172" customWidth="1"/>
    <col min="2313" max="2313" width="11" style="172" customWidth="1"/>
    <col min="2314" max="2315" width="6.6640625" style="172" customWidth="1"/>
    <col min="2316" max="2316" width="5.6640625" style="172" customWidth="1"/>
    <col min="2317" max="2317" width="6.6640625" style="172" customWidth="1"/>
    <col min="2318" max="2318" width="1.5546875" style="172" customWidth="1"/>
    <col min="2319" max="2319" width="6.33203125" style="172" customWidth="1"/>
    <col min="2320" max="2324" width="6.6640625" style="172" customWidth="1"/>
    <col min="2325" max="2560" width="10.6640625" style="172"/>
    <col min="2561" max="2561" width="6.6640625" style="172" customWidth="1"/>
    <col min="2562" max="2562" width="1.5546875" style="172" customWidth="1"/>
    <col min="2563" max="2563" width="9.33203125" style="172" customWidth="1"/>
    <col min="2564" max="2564" width="1.5546875" style="172" customWidth="1"/>
    <col min="2565" max="2565" width="6.6640625" style="172" customWidth="1"/>
    <col min="2566" max="2568" width="9.33203125" style="172" customWidth="1"/>
    <col min="2569" max="2569" width="11" style="172" customWidth="1"/>
    <col min="2570" max="2571" width="6.6640625" style="172" customWidth="1"/>
    <col min="2572" max="2572" width="5.6640625" style="172" customWidth="1"/>
    <col min="2573" max="2573" width="6.6640625" style="172" customWidth="1"/>
    <col min="2574" max="2574" width="1.5546875" style="172" customWidth="1"/>
    <col min="2575" max="2575" width="6.33203125" style="172" customWidth="1"/>
    <col min="2576" max="2580" width="6.6640625" style="172" customWidth="1"/>
    <col min="2581" max="2816" width="10.6640625" style="172"/>
    <col min="2817" max="2817" width="6.6640625" style="172" customWidth="1"/>
    <col min="2818" max="2818" width="1.5546875" style="172" customWidth="1"/>
    <col min="2819" max="2819" width="9.33203125" style="172" customWidth="1"/>
    <col min="2820" max="2820" width="1.5546875" style="172" customWidth="1"/>
    <col min="2821" max="2821" width="6.6640625" style="172" customWidth="1"/>
    <col min="2822" max="2824" width="9.33203125" style="172" customWidth="1"/>
    <col min="2825" max="2825" width="11" style="172" customWidth="1"/>
    <col min="2826" max="2827" width="6.6640625" style="172" customWidth="1"/>
    <col min="2828" max="2828" width="5.6640625" style="172" customWidth="1"/>
    <col min="2829" max="2829" width="6.6640625" style="172" customWidth="1"/>
    <col min="2830" max="2830" width="1.5546875" style="172" customWidth="1"/>
    <col min="2831" max="2831" width="6.33203125" style="172" customWidth="1"/>
    <col min="2832" max="2836" width="6.6640625" style="172" customWidth="1"/>
    <col min="2837" max="3072" width="10.6640625" style="172"/>
    <col min="3073" max="3073" width="6.6640625" style="172" customWidth="1"/>
    <col min="3074" max="3074" width="1.5546875" style="172" customWidth="1"/>
    <col min="3075" max="3075" width="9.33203125" style="172" customWidth="1"/>
    <col min="3076" max="3076" width="1.5546875" style="172" customWidth="1"/>
    <col min="3077" max="3077" width="6.6640625" style="172" customWidth="1"/>
    <col min="3078" max="3080" width="9.33203125" style="172" customWidth="1"/>
    <col min="3081" max="3081" width="11" style="172" customWidth="1"/>
    <col min="3082" max="3083" width="6.6640625" style="172" customWidth="1"/>
    <col min="3084" max="3084" width="5.6640625" style="172" customWidth="1"/>
    <col min="3085" max="3085" width="6.6640625" style="172" customWidth="1"/>
    <col min="3086" max="3086" width="1.5546875" style="172" customWidth="1"/>
    <col min="3087" max="3087" width="6.33203125" style="172" customWidth="1"/>
    <col min="3088" max="3092" width="6.6640625" style="172" customWidth="1"/>
    <col min="3093" max="3328" width="10.6640625" style="172"/>
    <col min="3329" max="3329" width="6.6640625" style="172" customWidth="1"/>
    <col min="3330" max="3330" width="1.5546875" style="172" customWidth="1"/>
    <col min="3331" max="3331" width="9.33203125" style="172" customWidth="1"/>
    <col min="3332" max="3332" width="1.5546875" style="172" customWidth="1"/>
    <col min="3333" max="3333" width="6.6640625" style="172" customWidth="1"/>
    <col min="3334" max="3336" width="9.33203125" style="172" customWidth="1"/>
    <col min="3337" max="3337" width="11" style="172" customWidth="1"/>
    <col min="3338" max="3339" width="6.6640625" style="172" customWidth="1"/>
    <col min="3340" max="3340" width="5.6640625" style="172" customWidth="1"/>
    <col min="3341" max="3341" width="6.6640625" style="172" customWidth="1"/>
    <col min="3342" max="3342" width="1.5546875" style="172" customWidth="1"/>
    <col min="3343" max="3343" width="6.33203125" style="172" customWidth="1"/>
    <col min="3344" max="3348" width="6.6640625" style="172" customWidth="1"/>
    <col min="3349" max="3584" width="10.6640625" style="172"/>
    <col min="3585" max="3585" width="6.6640625" style="172" customWidth="1"/>
    <col min="3586" max="3586" width="1.5546875" style="172" customWidth="1"/>
    <col min="3587" max="3587" width="9.33203125" style="172" customWidth="1"/>
    <col min="3588" max="3588" width="1.5546875" style="172" customWidth="1"/>
    <col min="3589" max="3589" width="6.6640625" style="172" customWidth="1"/>
    <col min="3590" max="3592" width="9.33203125" style="172" customWidth="1"/>
    <col min="3593" max="3593" width="11" style="172" customWidth="1"/>
    <col min="3594" max="3595" width="6.6640625" style="172" customWidth="1"/>
    <col min="3596" max="3596" width="5.6640625" style="172" customWidth="1"/>
    <col min="3597" max="3597" width="6.6640625" style="172" customWidth="1"/>
    <col min="3598" max="3598" width="1.5546875" style="172" customWidth="1"/>
    <col min="3599" max="3599" width="6.33203125" style="172" customWidth="1"/>
    <col min="3600" max="3604" width="6.6640625" style="172" customWidth="1"/>
    <col min="3605" max="3840" width="10.6640625" style="172"/>
    <col min="3841" max="3841" width="6.6640625" style="172" customWidth="1"/>
    <col min="3842" max="3842" width="1.5546875" style="172" customWidth="1"/>
    <col min="3843" max="3843" width="9.33203125" style="172" customWidth="1"/>
    <col min="3844" max="3844" width="1.5546875" style="172" customWidth="1"/>
    <col min="3845" max="3845" width="6.6640625" style="172" customWidth="1"/>
    <col min="3846" max="3848" width="9.33203125" style="172" customWidth="1"/>
    <col min="3849" max="3849" width="11" style="172" customWidth="1"/>
    <col min="3850" max="3851" width="6.6640625" style="172" customWidth="1"/>
    <col min="3852" max="3852" width="5.6640625" style="172" customWidth="1"/>
    <col min="3853" max="3853" width="6.6640625" style="172" customWidth="1"/>
    <col min="3854" max="3854" width="1.5546875" style="172" customWidth="1"/>
    <col min="3855" max="3855" width="6.33203125" style="172" customWidth="1"/>
    <col min="3856" max="3860" width="6.6640625" style="172" customWidth="1"/>
    <col min="3861" max="4096" width="10.6640625" style="172"/>
    <col min="4097" max="4097" width="6.6640625" style="172" customWidth="1"/>
    <col min="4098" max="4098" width="1.5546875" style="172" customWidth="1"/>
    <col min="4099" max="4099" width="9.33203125" style="172" customWidth="1"/>
    <col min="4100" max="4100" width="1.5546875" style="172" customWidth="1"/>
    <col min="4101" max="4101" width="6.6640625" style="172" customWidth="1"/>
    <col min="4102" max="4104" width="9.33203125" style="172" customWidth="1"/>
    <col min="4105" max="4105" width="11" style="172" customWidth="1"/>
    <col min="4106" max="4107" width="6.6640625" style="172" customWidth="1"/>
    <col min="4108" max="4108" width="5.6640625" style="172" customWidth="1"/>
    <col min="4109" max="4109" width="6.6640625" style="172" customWidth="1"/>
    <col min="4110" max="4110" width="1.5546875" style="172" customWidth="1"/>
    <col min="4111" max="4111" width="6.33203125" style="172" customWidth="1"/>
    <col min="4112" max="4116" width="6.6640625" style="172" customWidth="1"/>
    <col min="4117" max="4352" width="10.6640625" style="172"/>
    <col min="4353" max="4353" width="6.6640625" style="172" customWidth="1"/>
    <col min="4354" max="4354" width="1.5546875" style="172" customWidth="1"/>
    <col min="4355" max="4355" width="9.33203125" style="172" customWidth="1"/>
    <col min="4356" max="4356" width="1.5546875" style="172" customWidth="1"/>
    <col min="4357" max="4357" width="6.6640625" style="172" customWidth="1"/>
    <col min="4358" max="4360" width="9.33203125" style="172" customWidth="1"/>
    <col min="4361" max="4361" width="11" style="172" customWidth="1"/>
    <col min="4362" max="4363" width="6.6640625" style="172" customWidth="1"/>
    <col min="4364" max="4364" width="5.6640625" style="172" customWidth="1"/>
    <col min="4365" max="4365" width="6.6640625" style="172" customWidth="1"/>
    <col min="4366" max="4366" width="1.5546875" style="172" customWidth="1"/>
    <col min="4367" max="4367" width="6.33203125" style="172" customWidth="1"/>
    <col min="4368" max="4372" width="6.6640625" style="172" customWidth="1"/>
    <col min="4373" max="4608" width="10.6640625" style="172"/>
    <col min="4609" max="4609" width="6.6640625" style="172" customWidth="1"/>
    <col min="4610" max="4610" width="1.5546875" style="172" customWidth="1"/>
    <col min="4611" max="4611" width="9.33203125" style="172" customWidth="1"/>
    <col min="4612" max="4612" width="1.5546875" style="172" customWidth="1"/>
    <col min="4613" max="4613" width="6.6640625" style="172" customWidth="1"/>
    <col min="4614" max="4616" width="9.33203125" style="172" customWidth="1"/>
    <col min="4617" max="4617" width="11" style="172" customWidth="1"/>
    <col min="4618" max="4619" width="6.6640625" style="172" customWidth="1"/>
    <col min="4620" max="4620" width="5.6640625" style="172" customWidth="1"/>
    <col min="4621" max="4621" width="6.6640625" style="172" customWidth="1"/>
    <col min="4622" max="4622" width="1.5546875" style="172" customWidth="1"/>
    <col min="4623" max="4623" width="6.33203125" style="172" customWidth="1"/>
    <col min="4624" max="4628" width="6.6640625" style="172" customWidth="1"/>
    <col min="4629" max="4864" width="10.6640625" style="172"/>
    <col min="4865" max="4865" width="6.6640625" style="172" customWidth="1"/>
    <col min="4866" max="4866" width="1.5546875" style="172" customWidth="1"/>
    <col min="4867" max="4867" width="9.33203125" style="172" customWidth="1"/>
    <col min="4868" max="4868" width="1.5546875" style="172" customWidth="1"/>
    <col min="4869" max="4869" width="6.6640625" style="172" customWidth="1"/>
    <col min="4870" max="4872" width="9.33203125" style="172" customWidth="1"/>
    <col min="4873" max="4873" width="11" style="172" customWidth="1"/>
    <col min="4874" max="4875" width="6.6640625" style="172" customWidth="1"/>
    <col min="4876" max="4876" width="5.6640625" style="172" customWidth="1"/>
    <col min="4877" max="4877" width="6.6640625" style="172" customWidth="1"/>
    <col min="4878" max="4878" width="1.5546875" style="172" customWidth="1"/>
    <col min="4879" max="4879" width="6.33203125" style="172" customWidth="1"/>
    <col min="4880" max="4884" width="6.6640625" style="172" customWidth="1"/>
    <col min="4885" max="5120" width="10.6640625" style="172"/>
    <col min="5121" max="5121" width="6.6640625" style="172" customWidth="1"/>
    <col min="5122" max="5122" width="1.5546875" style="172" customWidth="1"/>
    <col min="5123" max="5123" width="9.33203125" style="172" customWidth="1"/>
    <col min="5124" max="5124" width="1.5546875" style="172" customWidth="1"/>
    <col min="5125" max="5125" width="6.6640625" style="172" customWidth="1"/>
    <col min="5126" max="5128" width="9.33203125" style="172" customWidth="1"/>
    <col min="5129" max="5129" width="11" style="172" customWidth="1"/>
    <col min="5130" max="5131" width="6.6640625" style="172" customWidth="1"/>
    <col min="5132" max="5132" width="5.6640625" style="172" customWidth="1"/>
    <col min="5133" max="5133" width="6.6640625" style="172" customWidth="1"/>
    <col min="5134" max="5134" width="1.5546875" style="172" customWidth="1"/>
    <col min="5135" max="5135" width="6.33203125" style="172" customWidth="1"/>
    <col min="5136" max="5140" width="6.6640625" style="172" customWidth="1"/>
    <col min="5141" max="5376" width="10.6640625" style="172"/>
    <col min="5377" max="5377" width="6.6640625" style="172" customWidth="1"/>
    <col min="5378" max="5378" width="1.5546875" style="172" customWidth="1"/>
    <col min="5379" max="5379" width="9.33203125" style="172" customWidth="1"/>
    <col min="5380" max="5380" width="1.5546875" style="172" customWidth="1"/>
    <col min="5381" max="5381" width="6.6640625" style="172" customWidth="1"/>
    <col min="5382" max="5384" width="9.33203125" style="172" customWidth="1"/>
    <col min="5385" max="5385" width="11" style="172" customWidth="1"/>
    <col min="5386" max="5387" width="6.6640625" style="172" customWidth="1"/>
    <col min="5388" max="5388" width="5.6640625" style="172" customWidth="1"/>
    <col min="5389" max="5389" width="6.6640625" style="172" customWidth="1"/>
    <col min="5390" max="5390" width="1.5546875" style="172" customWidth="1"/>
    <col min="5391" max="5391" width="6.33203125" style="172" customWidth="1"/>
    <col min="5392" max="5396" width="6.6640625" style="172" customWidth="1"/>
    <col min="5397" max="5632" width="10.6640625" style="172"/>
    <col min="5633" max="5633" width="6.6640625" style="172" customWidth="1"/>
    <col min="5634" max="5634" width="1.5546875" style="172" customWidth="1"/>
    <col min="5635" max="5635" width="9.33203125" style="172" customWidth="1"/>
    <col min="5636" max="5636" width="1.5546875" style="172" customWidth="1"/>
    <col min="5637" max="5637" width="6.6640625" style="172" customWidth="1"/>
    <col min="5638" max="5640" width="9.33203125" style="172" customWidth="1"/>
    <col min="5641" max="5641" width="11" style="172" customWidth="1"/>
    <col min="5642" max="5643" width="6.6640625" style="172" customWidth="1"/>
    <col min="5644" max="5644" width="5.6640625" style="172" customWidth="1"/>
    <col min="5645" max="5645" width="6.6640625" style="172" customWidth="1"/>
    <col min="5646" max="5646" width="1.5546875" style="172" customWidth="1"/>
    <col min="5647" max="5647" width="6.33203125" style="172" customWidth="1"/>
    <col min="5648" max="5652" width="6.6640625" style="172" customWidth="1"/>
    <col min="5653" max="5888" width="10.6640625" style="172"/>
    <col min="5889" max="5889" width="6.6640625" style="172" customWidth="1"/>
    <col min="5890" max="5890" width="1.5546875" style="172" customWidth="1"/>
    <col min="5891" max="5891" width="9.33203125" style="172" customWidth="1"/>
    <col min="5892" max="5892" width="1.5546875" style="172" customWidth="1"/>
    <col min="5893" max="5893" width="6.6640625" style="172" customWidth="1"/>
    <col min="5894" max="5896" width="9.33203125" style="172" customWidth="1"/>
    <col min="5897" max="5897" width="11" style="172" customWidth="1"/>
    <col min="5898" max="5899" width="6.6640625" style="172" customWidth="1"/>
    <col min="5900" max="5900" width="5.6640625" style="172" customWidth="1"/>
    <col min="5901" max="5901" width="6.6640625" style="172" customWidth="1"/>
    <col min="5902" max="5902" width="1.5546875" style="172" customWidth="1"/>
    <col min="5903" max="5903" width="6.33203125" style="172" customWidth="1"/>
    <col min="5904" max="5908" width="6.6640625" style="172" customWidth="1"/>
    <col min="5909" max="6144" width="10.6640625" style="172"/>
    <col min="6145" max="6145" width="6.6640625" style="172" customWidth="1"/>
    <col min="6146" max="6146" width="1.5546875" style="172" customWidth="1"/>
    <col min="6147" max="6147" width="9.33203125" style="172" customWidth="1"/>
    <col min="6148" max="6148" width="1.5546875" style="172" customWidth="1"/>
    <col min="6149" max="6149" width="6.6640625" style="172" customWidth="1"/>
    <col min="6150" max="6152" width="9.33203125" style="172" customWidth="1"/>
    <col min="6153" max="6153" width="11" style="172" customWidth="1"/>
    <col min="6154" max="6155" width="6.6640625" style="172" customWidth="1"/>
    <col min="6156" max="6156" width="5.6640625" style="172" customWidth="1"/>
    <col min="6157" max="6157" width="6.6640625" style="172" customWidth="1"/>
    <col min="6158" max="6158" width="1.5546875" style="172" customWidth="1"/>
    <col min="6159" max="6159" width="6.33203125" style="172" customWidth="1"/>
    <col min="6160" max="6164" width="6.6640625" style="172" customWidth="1"/>
    <col min="6165" max="6400" width="10.6640625" style="172"/>
    <col min="6401" max="6401" width="6.6640625" style="172" customWidth="1"/>
    <col min="6402" max="6402" width="1.5546875" style="172" customWidth="1"/>
    <col min="6403" max="6403" width="9.33203125" style="172" customWidth="1"/>
    <col min="6404" max="6404" width="1.5546875" style="172" customWidth="1"/>
    <col min="6405" max="6405" width="6.6640625" style="172" customWidth="1"/>
    <col min="6406" max="6408" width="9.33203125" style="172" customWidth="1"/>
    <col min="6409" max="6409" width="11" style="172" customWidth="1"/>
    <col min="6410" max="6411" width="6.6640625" style="172" customWidth="1"/>
    <col min="6412" max="6412" width="5.6640625" style="172" customWidth="1"/>
    <col min="6413" max="6413" width="6.6640625" style="172" customWidth="1"/>
    <col min="6414" max="6414" width="1.5546875" style="172" customWidth="1"/>
    <col min="6415" max="6415" width="6.33203125" style="172" customWidth="1"/>
    <col min="6416" max="6420" width="6.6640625" style="172" customWidth="1"/>
    <col min="6421" max="6656" width="10.6640625" style="172"/>
    <col min="6657" max="6657" width="6.6640625" style="172" customWidth="1"/>
    <col min="6658" max="6658" width="1.5546875" style="172" customWidth="1"/>
    <col min="6659" max="6659" width="9.33203125" style="172" customWidth="1"/>
    <col min="6660" max="6660" width="1.5546875" style="172" customWidth="1"/>
    <col min="6661" max="6661" width="6.6640625" style="172" customWidth="1"/>
    <col min="6662" max="6664" width="9.33203125" style="172" customWidth="1"/>
    <col min="6665" max="6665" width="11" style="172" customWidth="1"/>
    <col min="6666" max="6667" width="6.6640625" style="172" customWidth="1"/>
    <col min="6668" max="6668" width="5.6640625" style="172" customWidth="1"/>
    <col min="6669" max="6669" width="6.6640625" style="172" customWidth="1"/>
    <col min="6670" max="6670" width="1.5546875" style="172" customWidth="1"/>
    <col min="6671" max="6671" width="6.33203125" style="172" customWidth="1"/>
    <col min="6672" max="6676" width="6.6640625" style="172" customWidth="1"/>
    <col min="6677" max="6912" width="10.6640625" style="172"/>
    <col min="6913" max="6913" width="6.6640625" style="172" customWidth="1"/>
    <col min="6914" max="6914" width="1.5546875" style="172" customWidth="1"/>
    <col min="6915" max="6915" width="9.33203125" style="172" customWidth="1"/>
    <col min="6916" max="6916" width="1.5546875" style="172" customWidth="1"/>
    <col min="6917" max="6917" width="6.6640625" style="172" customWidth="1"/>
    <col min="6918" max="6920" width="9.33203125" style="172" customWidth="1"/>
    <col min="6921" max="6921" width="11" style="172" customWidth="1"/>
    <col min="6922" max="6923" width="6.6640625" style="172" customWidth="1"/>
    <col min="6924" max="6924" width="5.6640625" style="172" customWidth="1"/>
    <col min="6925" max="6925" width="6.6640625" style="172" customWidth="1"/>
    <col min="6926" max="6926" width="1.5546875" style="172" customWidth="1"/>
    <col min="6927" max="6927" width="6.33203125" style="172" customWidth="1"/>
    <col min="6928" max="6932" width="6.6640625" style="172" customWidth="1"/>
    <col min="6933" max="7168" width="10.6640625" style="172"/>
    <col min="7169" max="7169" width="6.6640625" style="172" customWidth="1"/>
    <col min="7170" max="7170" width="1.5546875" style="172" customWidth="1"/>
    <col min="7171" max="7171" width="9.33203125" style="172" customWidth="1"/>
    <col min="7172" max="7172" width="1.5546875" style="172" customWidth="1"/>
    <col min="7173" max="7173" width="6.6640625" style="172" customWidth="1"/>
    <col min="7174" max="7176" width="9.33203125" style="172" customWidth="1"/>
    <col min="7177" max="7177" width="11" style="172" customWidth="1"/>
    <col min="7178" max="7179" width="6.6640625" style="172" customWidth="1"/>
    <col min="7180" max="7180" width="5.6640625" style="172" customWidth="1"/>
    <col min="7181" max="7181" width="6.6640625" style="172" customWidth="1"/>
    <col min="7182" max="7182" width="1.5546875" style="172" customWidth="1"/>
    <col min="7183" max="7183" width="6.33203125" style="172" customWidth="1"/>
    <col min="7184" max="7188" width="6.6640625" style="172" customWidth="1"/>
    <col min="7189" max="7424" width="10.6640625" style="172"/>
    <col min="7425" max="7425" width="6.6640625" style="172" customWidth="1"/>
    <col min="7426" max="7426" width="1.5546875" style="172" customWidth="1"/>
    <col min="7427" max="7427" width="9.33203125" style="172" customWidth="1"/>
    <col min="7428" max="7428" width="1.5546875" style="172" customWidth="1"/>
    <col min="7429" max="7429" width="6.6640625" style="172" customWidth="1"/>
    <col min="7430" max="7432" width="9.33203125" style="172" customWidth="1"/>
    <col min="7433" max="7433" width="11" style="172" customWidth="1"/>
    <col min="7434" max="7435" width="6.6640625" style="172" customWidth="1"/>
    <col min="7436" max="7436" width="5.6640625" style="172" customWidth="1"/>
    <col min="7437" max="7437" width="6.6640625" style="172" customWidth="1"/>
    <col min="7438" max="7438" width="1.5546875" style="172" customWidth="1"/>
    <col min="7439" max="7439" width="6.33203125" style="172" customWidth="1"/>
    <col min="7440" max="7444" width="6.6640625" style="172" customWidth="1"/>
    <col min="7445" max="7680" width="10.6640625" style="172"/>
    <col min="7681" max="7681" width="6.6640625" style="172" customWidth="1"/>
    <col min="7682" max="7682" width="1.5546875" style="172" customWidth="1"/>
    <col min="7683" max="7683" width="9.33203125" style="172" customWidth="1"/>
    <col min="7684" max="7684" width="1.5546875" style="172" customWidth="1"/>
    <col min="7685" max="7685" width="6.6640625" style="172" customWidth="1"/>
    <col min="7686" max="7688" width="9.33203125" style="172" customWidth="1"/>
    <col min="7689" max="7689" width="11" style="172" customWidth="1"/>
    <col min="7690" max="7691" width="6.6640625" style="172" customWidth="1"/>
    <col min="7692" max="7692" width="5.6640625" style="172" customWidth="1"/>
    <col min="7693" max="7693" width="6.6640625" style="172" customWidth="1"/>
    <col min="7694" max="7694" width="1.5546875" style="172" customWidth="1"/>
    <col min="7695" max="7695" width="6.33203125" style="172" customWidth="1"/>
    <col min="7696" max="7700" width="6.6640625" style="172" customWidth="1"/>
    <col min="7701" max="7936" width="10.6640625" style="172"/>
    <col min="7937" max="7937" width="6.6640625" style="172" customWidth="1"/>
    <col min="7938" max="7938" width="1.5546875" style="172" customWidth="1"/>
    <col min="7939" max="7939" width="9.33203125" style="172" customWidth="1"/>
    <col min="7940" max="7940" width="1.5546875" style="172" customWidth="1"/>
    <col min="7941" max="7941" width="6.6640625" style="172" customWidth="1"/>
    <col min="7942" max="7944" width="9.33203125" style="172" customWidth="1"/>
    <col min="7945" max="7945" width="11" style="172" customWidth="1"/>
    <col min="7946" max="7947" width="6.6640625" style="172" customWidth="1"/>
    <col min="7948" max="7948" width="5.6640625" style="172" customWidth="1"/>
    <col min="7949" max="7949" width="6.6640625" style="172" customWidth="1"/>
    <col min="7950" max="7950" width="1.5546875" style="172" customWidth="1"/>
    <col min="7951" max="7951" width="6.33203125" style="172" customWidth="1"/>
    <col min="7952" max="7956" width="6.6640625" style="172" customWidth="1"/>
    <col min="7957" max="8192" width="10.6640625" style="172"/>
    <col min="8193" max="8193" width="6.6640625" style="172" customWidth="1"/>
    <col min="8194" max="8194" width="1.5546875" style="172" customWidth="1"/>
    <col min="8195" max="8195" width="9.33203125" style="172" customWidth="1"/>
    <col min="8196" max="8196" width="1.5546875" style="172" customWidth="1"/>
    <col min="8197" max="8197" width="6.6640625" style="172" customWidth="1"/>
    <col min="8198" max="8200" width="9.33203125" style="172" customWidth="1"/>
    <col min="8201" max="8201" width="11" style="172" customWidth="1"/>
    <col min="8202" max="8203" width="6.6640625" style="172" customWidth="1"/>
    <col min="8204" max="8204" width="5.6640625" style="172" customWidth="1"/>
    <col min="8205" max="8205" width="6.6640625" style="172" customWidth="1"/>
    <col min="8206" max="8206" width="1.5546875" style="172" customWidth="1"/>
    <col min="8207" max="8207" width="6.33203125" style="172" customWidth="1"/>
    <col min="8208" max="8212" width="6.6640625" style="172" customWidth="1"/>
    <col min="8213" max="8448" width="10.6640625" style="172"/>
    <col min="8449" max="8449" width="6.6640625" style="172" customWidth="1"/>
    <col min="8450" max="8450" width="1.5546875" style="172" customWidth="1"/>
    <col min="8451" max="8451" width="9.33203125" style="172" customWidth="1"/>
    <col min="8452" max="8452" width="1.5546875" style="172" customWidth="1"/>
    <col min="8453" max="8453" width="6.6640625" style="172" customWidth="1"/>
    <col min="8454" max="8456" width="9.33203125" style="172" customWidth="1"/>
    <col min="8457" max="8457" width="11" style="172" customWidth="1"/>
    <col min="8458" max="8459" width="6.6640625" style="172" customWidth="1"/>
    <col min="8460" max="8460" width="5.6640625" style="172" customWidth="1"/>
    <col min="8461" max="8461" width="6.6640625" style="172" customWidth="1"/>
    <col min="8462" max="8462" width="1.5546875" style="172" customWidth="1"/>
    <col min="8463" max="8463" width="6.33203125" style="172" customWidth="1"/>
    <col min="8464" max="8468" width="6.6640625" style="172" customWidth="1"/>
    <col min="8469" max="8704" width="10.6640625" style="172"/>
    <col min="8705" max="8705" width="6.6640625" style="172" customWidth="1"/>
    <col min="8706" max="8706" width="1.5546875" style="172" customWidth="1"/>
    <col min="8707" max="8707" width="9.33203125" style="172" customWidth="1"/>
    <col min="8708" max="8708" width="1.5546875" style="172" customWidth="1"/>
    <col min="8709" max="8709" width="6.6640625" style="172" customWidth="1"/>
    <col min="8710" max="8712" width="9.33203125" style="172" customWidth="1"/>
    <col min="8713" max="8713" width="11" style="172" customWidth="1"/>
    <col min="8714" max="8715" width="6.6640625" style="172" customWidth="1"/>
    <col min="8716" max="8716" width="5.6640625" style="172" customWidth="1"/>
    <col min="8717" max="8717" width="6.6640625" style="172" customWidth="1"/>
    <col min="8718" max="8718" width="1.5546875" style="172" customWidth="1"/>
    <col min="8719" max="8719" width="6.33203125" style="172" customWidth="1"/>
    <col min="8720" max="8724" width="6.6640625" style="172" customWidth="1"/>
    <col min="8725" max="8960" width="10.6640625" style="172"/>
    <col min="8961" max="8961" width="6.6640625" style="172" customWidth="1"/>
    <col min="8962" max="8962" width="1.5546875" style="172" customWidth="1"/>
    <col min="8963" max="8963" width="9.33203125" style="172" customWidth="1"/>
    <col min="8964" max="8964" width="1.5546875" style="172" customWidth="1"/>
    <col min="8965" max="8965" width="6.6640625" style="172" customWidth="1"/>
    <col min="8966" max="8968" width="9.33203125" style="172" customWidth="1"/>
    <col min="8969" max="8969" width="11" style="172" customWidth="1"/>
    <col min="8970" max="8971" width="6.6640625" style="172" customWidth="1"/>
    <col min="8972" max="8972" width="5.6640625" style="172" customWidth="1"/>
    <col min="8973" max="8973" width="6.6640625" style="172" customWidth="1"/>
    <col min="8974" max="8974" width="1.5546875" style="172" customWidth="1"/>
    <col min="8975" max="8975" width="6.33203125" style="172" customWidth="1"/>
    <col min="8976" max="8980" width="6.6640625" style="172" customWidth="1"/>
    <col min="8981" max="9216" width="10.6640625" style="172"/>
    <col min="9217" max="9217" width="6.6640625" style="172" customWidth="1"/>
    <col min="9218" max="9218" width="1.5546875" style="172" customWidth="1"/>
    <col min="9219" max="9219" width="9.33203125" style="172" customWidth="1"/>
    <col min="9220" max="9220" width="1.5546875" style="172" customWidth="1"/>
    <col min="9221" max="9221" width="6.6640625" style="172" customWidth="1"/>
    <col min="9222" max="9224" width="9.33203125" style="172" customWidth="1"/>
    <col min="9225" max="9225" width="11" style="172" customWidth="1"/>
    <col min="9226" max="9227" width="6.6640625" style="172" customWidth="1"/>
    <col min="9228" max="9228" width="5.6640625" style="172" customWidth="1"/>
    <col min="9229" max="9229" width="6.6640625" style="172" customWidth="1"/>
    <col min="9230" max="9230" width="1.5546875" style="172" customWidth="1"/>
    <col min="9231" max="9231" width="6.33203125" style="172" customWidth="1"/>
    <col min="9232" max="9236" width="6.6640625" style="172" customWidth="1"/>
    <col min="9237" max="9472" width="10.6640625" style="172"/>
    <col min="9473" max="9473" width="6.6640625" style="172" customWidth="1"/>
    <col min="9474" max="9474" width="1.5546875" style="172" customWidth="1"/>
    <col min="9475" max="9475" width="9.33203125" style="172" customWidth="1"/>
    <col min="9476" max="9476" width="1.5546875" style="172" customWidth="1"/>
    <col min="9477" max="9477" width="6.6640625" style="172" customWidth="1"/>
    <col min="9478" max="9480" width="9.33203125" style="172" customWidth="1"/>
    <col min="9481" max="9481" width="11" style="172" customWidth="1"/>
    <col min="9482" max="9483" width="6.6640625" style="172" customWidth="1"/>
    <col min="9484" max="9484" width="5.6640625" style="172" customWidth="1"/>
    <col min="9485" max="9485" width="6.6640625" style="172" customWidth="1"/>
    <col min="9486" max="9486" width="1.5546875" style="172" customWidth="1"/>
    <col min="9487" max="9487" width="6.33203125" style="172" customWidth="1"/>
    <col min="9488" max="9492" width="6.6640625" style="172" customWidth="1"/>
    <col min="9493" max="9728" width="10.6640625" style="172"/>
    <col min="9729" max="9729" width="6.6640625" style="172" customWidth="1"/>
    <col min="9730" max="9730" width="1.5546875" style="172" customWidth="1"/>
    <col min="9731" max="9731" width="9.33203125" style="172" customWidth="1"/>
    <col min="9732" max="9732" width="1.5546875" style="172" customWidth="1"/>
    <col min="9733" max="9733" width="6.6640625" style="172" customWidth="1"/>
    <col min="9734" max="9736" width="9.33203125" style="172" customWidth="1"/>
    <col min="9737" max="9737" width="11" style="172" customWidth="1"/>
    <col min="9738" max="9739" width="6.6640625" style="172" customWidth="1"/>
    <col min="9740" max="9740" width="5.6640625" style="172" customWidth="1"/>
    <col min="9741" max="9741" width="6.6640625" style="172" customWidth="1"/>
    <col min="9742" max="9742" width="1.5546875" style="172" customWidth="1"/>
    <col min="9743" max="9743" width="6.33203125" style="172" customWidth="1"/>
    <col min="9744" max="9748" width="6.6640625" style="172" customWidth="1"/>
    <col min="9749" max="9984" width="10.6640625" style="172"/>
    <col min="9985" max="9985" width="6.6640625" style="172" customWidth="1"/>
    <col min="9986" max="9986" width="1.5546875" style="172" customWidth="1"/>
    <col min="9987" max="9987" width="9.33203125" style="172" customWidth="1"/>
    <col min="9988" max="9988" width="1.5546875" style="172" customWidth="1"/>
    <col min="9989" max="9989" width="6.6640625" style="172" customWidth="1"/>
    <col min="9990" max="9992" width="9.33203125" style="172" customWidth="1"/>
    <col min="9993" max="9993" width="11" style="172" customWidth="1"/>
    <col min="9994" max="9995" width="6.6640625" style="172" customWidth="1"/>
    <col min="9996" max="9996" width="5.6640625" style="172" customWidth="1"/>
    <col min="9997" max="9997" width="6.6640625" style="172" customWidth="1"/>
    <col min="9998" max="9998" width="1.5546875" style="172" customWidth="1"/>
    <col min="9999" max="9999" width="6.33203125" style="172" customWidth="1"/>
    <col min="10000" max="10004" width="6.6640625" style="172" customWidth="1"/>
    <col min="10005" max="10240" width="10.6640625" style="172"/>
    <col min="10241" max="10241" width="6.6640625" style="172" customWidth="1"/>
    <col min="10242" max="10242" width="1.5546875" style="172" customWidth="1"/>
    <col min="10243" max="10243" width="9.33203125" style="172" customWidth="1"/>
    <col min="10244" max="10244" width="1.5546875" style="172" customWidth="1"/>
    <col min="10245" max="10245" width="6.6640625" style="172" customWidth="1"/>
    <col min="10246" max="10248" width="9.33203125" style="172" customWidth="1"/>
    <col min="10249" max="10249" width="11" style="172" customWidth="1"/>
    <col min="10250" max="10251" width="6.6640625" style="172" customWidth="1"/>
    <col min="10252" max="10252" width="5.6640625" style="172" customWidth="1"/>
    <col min="10253" max="10253" width="6.6640625" style="172" customWidth="1"/>
    <col min="10254" max="10254" width="1.5546875" style="172" customWidth="1"/>
    <col min="10255" max="10255" width="6.33203125" style="172" customWidth="1"/>
    <col min="10256" max="10260" width="6.6640625" style="172" customWidth="1"/>
    <col min="10261" max="10496" width="10.6640625" style="172"/>
    <col min="10497" max="10497" width="6.6640625" style="172" customWidth="1"/>
    <col min="10498" max="10498" width="1.5546875" style="172" customWidth="1"/>
    <col min="10499" max="10499" width="9.33203125" style="172" customWidth="1"/>
    <col min="10500" max="10500" width="1.5546875" style="172" customWidth="1"/>
    <col min="10501" max="10501" width="6.6640625" style="172" customWidth="1"/>
    <col min="10502" max="10504" width="9.33203125" style="172" customWidth="1"/>
    <col min="10505" max="10505" width="11" style="172" customWidth="1"/>
    <col min="10506" max="10507" width="6.6640625" style="172" customWidth="1"/>
    <col min="10508" max="10508" width="5.6640625" style="172" customWidth="1"/>
    <col min="10509" max="10509" width="6.6640625" style="172" customWidth="1"/>
    <col min="10510" max="10510" width="1.5546875" style="172" customWidth="1"/>
    <col min="10511" max="10511" width="6.33203125" style="172" customWidth="1"/>
    <col min="10512" max="10516" width="6.6640625" style="172" customWidth="1"/>
    <col min="10517" max="10752" width="10.6640625" style="172"/>
    <col min="10753" max="10753" width="6.6640625" style="172" customWidth="1"/>
    <col min="10754" max="10754" width="1.5546875" style="172" customWidth="1"/>
    <col min="10755" max="10755" width="9.33203125" style="172" customWidth="1"/>
    <col min="10756" max="10756" width="1.5546875" style="172" customWidth="1"/>
    <col min="10757" max="10757" width="6.6640625" style="172" customWidth="1"/>
    <col min="10758" max="10760" width="9.33203125" style="172" customWidth="1"/>
    <col min="10761" max="10761" width="11" style="172" customWidth="1"/>
    <col min="10762" max="10763" width="6.6640625" style="172" customWidth="1"/>
    <col min="10764" max="10764" width="5.6640625" style="172" customWidth="1"/>
    <col min="10765" max="10765" width="6.6640625" style="172" customWidth="1"/>
    <col min="10766" max="10766" width="1.5546875" style="172" customWidth="1"/>
    <col min="10767" max="10767" width="6.33203125" style="172" customWidth="1"/>
    <col min="10768" max="10772" width="6.6640625" style="172" customWidth="1"/>
    <col min="10773" max="11008" width="10.6640625" style="172"/>
    <col min="11009" max="11009" width="6.6640625" style="172" customWidth="1"/>
    <col min="11010" max="11010" width="1.5546875" style="172" customWidth="1"/>
    <col min="11011" max="11011" width="9.33203125" style="172" customWidth="1"/>
    <col min="11012" max="11012" width="1.5546875" style="172" customWidth="1"/>
    <col min="11013" max="11013" width="6.6640625" style="172" customWidth="1"/>
    <col min="11014" max="11016" width="9.33203125" style="172" customWidth="1"/>
    <col min="11017" max="11017" width="11" style="172" customWidth="1"/>
    <col min="11018" max="11019" width="6.6640625" style="172" customWidth="1"/>
    <col min="11020" max="11020" width="5.6640625" style="172" customWidth="1"/>
    <col min="11021" max="11021" width="6.6640625" style="172" customWidth="1"/>
    <col min="11022" max="11022" width="1.5546875" style="172" customWidth="1"/>
    <col min="11023" max="11023" width="6.33203125" style="172" customWidth="1"/>
    <col min="11024" max="11028" width="6.6640625" style="172" customWidth="1"/>
    <col min="11029" max="11264" width="10.6640625" style="172"/>
    <col min="11265" max="11265" width="6.6640625" style="172" customWidth="1"/>
    <col min="11266" max="11266" width="1.5546875" style="172" customWidth="1"/>
    <col min="11267" max="11267" width="9.33203125" style="172" customWidth="1"/>
    <col min="11268" max="11268" width="1.5546875" style="172" customWidth="1"/>
    <col min="11269" max="11269" width="6.6640625" style="172" customWidth="1"/>
    <col min="11270" max="11272" width="9.33203125" style="172" customWidth="1"/>
    <col min="11273" max="11273" width="11" style="172" customWidth="1"/>
    <col min="11274" max="11275" width="6.6640625" style="172" customWidth="1"/>
    <col min="11276" max="11276" width="5.6640625" style="172" customWidth="1"/>
    <col min="11277" max="11277" width="6.6640625" style="172" customWidth="1"/>
    <col min="11278" max="11278" width="1.5546875" style="172" customWidth="1"/>
    <col min="11279" max="11279" width="6.33203125" style="172" customWidth="1"/>
    <col min="11280" max="11284" width="6.6640625" style="172" customWidth="1"/>
    <col min="11285" max="11520" width="10.6640625" style="172"/>
    <col min="11521" max="11521" width="6.6640625" style="172" customWidth="1"/>
    <col min="11522" max="11522" width="1.5546875" style="172" customWidth="1"/>
    <col min="11523" max="11523" width="9.33203125" style="172" customWidth="1"/>
    <col min="11524" max="11524" width="1.5546875" style="172" customWidth="1"/>
    <col min="11525" max="11525" width="6.6640625" style="172" customWidth="1"/>
    <col min="11526" max="11528" width="9.33203125" style="172" customWidth="1"/>
    <col min="11529" max="11529" width="11" style="172" customWidth="1"/>
    <col min="11530" max="11531" width="6.6640625" style="172" customWidth="1"/>
    <col min="11532" max="11532" width="5.6640625" style="172" customWidth="1"/>
    <col min="11533" max="11533" width="6.6640625" style="172" customWidth="1"/>
    <col min="11534" max="11534" width="1.5546875" style="172" customWidth="1"/>
    <col min="11535" max="11535" width="6.33203125" style="172" customWidth="1"/>
    <col min="11536" max="11540" width="6.6640625" style="172" customWidth="1"/>
    <col min="11541" max="11776" width="10.6640625" style="172"/>
    <col min="11777" max="11777" width="6.6640625" style="172" customWidth="1"/>
    <col min="11778" max="11778" width="1.5546875" style="172" customWidth="1"/>
    <col min="11779" max="11779" width="9.33203125" style="172" customWidth="1"/>
    <col min="11780" max="11780" width="1.5546875" style="172" customWidth="1"/>
    <col min="11781" max="11781" width="6.6640625" style="172" customWidth="1"/>
    <col min="11782" max="11784" width="9.33203125" style="172" customWidth="1"/>
    <col min="11785" max="11785" width="11" style="172" customWidth="1"/>
    <col min="11786" max="11787" width="6.6640625" style="172" customWidth="1"/>
    <col min="11788" max="11788" width="5.6640625" style="172" customWidth="1"/>
    <col min="11789" max="11789" width="6.6640625" style="172" customWidth="1"/>
    <col min="11790" max="11790" width="1.5546875" style="172" customWidth="1"/>
    <col min="11791" max="11791" width="6.33203125" style="172" customWidth="1"/>
    <col min="11792" max="11796" width="6.6640625" style="172" customWidth="1"/>
    <col min="11797" max="12032" width="10.6640625" style="172"/>
    <col min="12033" max="12033" width="6.6640625" style="172" customWidth="1"/>
    <col min="12034" max="12034" width="1.5546875" style="172" customWidth="1"/>
    <col min="12035" max="12035" width="9.33203125" style="172" customWidth="1"/>
    <col min="12036" max="12036" width="1.5546875" style="172" customWidth="1"/>
    <col min="12037" max="12037" width="6.6640625" style="172" customWidth="1"/>
    <col min="12038" max="12040" width="9.33203125" style="172" customWidth="1"/>
    <col min="12041" max="12041" width="11" style="172" customWidth="1"/>
    <col min="12042" max="12043" width="6.6640625" style="172" customWidth="1"/>
    <col min="12044" max="12044" width="5.6640625" style="172" customWidth="1"/>
    <col min="12045" max="12045" width="6.6640625" style="172" customWidth="1"/>
    <col min="12046" max="12046" width="1.5546875" style="172" customWidth="1"/>
    <col min="12047" max="12047" width="6.33203125" style="172" customWidth="1"/>
    <col min="12048" max="12052" width="6.6640625" style="172" customWidth="1"/>
    <col min="12053" max="12288" width="10.6640625" style="172"/>
    <col min="12289" max="12289" width="6.6640625" style="172" customWidth="1"/>
    <col min="12290" max="12290" width="1.5546875" style="172" customWidth="1"/>
    <col min="12291" max="12291" width="9.33203125" style="172" customWidth="1"/>
    <col min="12292" max="12292" width="1.5546875" style="172" customWidth="1"/>
    <col min="12293" max="12293" width="6.6640625" style="172" customWidth="1"/>
    <col min="12294" max="12296" width="9.33203125" style="172" customWidth="1"/>
    <col min="12297" max="12297" width="11" style="172" customWidth="1"/>
    <col min="12298" max="12299" width="6.6640625" style="172" customWidth="1"/>
    <col min="12300" max="12300" width="5.6640625" style="172" customWidth="1"/>
    <col min="12301" max="12301" width="6.6640625" style="172" customWidth="1"/>
    <col min="12302" max="12302" width="1.5546875" style="172" customWidth="1"/>
    <col min="12303" max="12303" width="6.33203125" style="172" customWidth="1"/>
    <col min="12304" max="12308" width="6.6640625" style="172" customWidth="1"/>
    <col min="12309" max="12544" width="10.6640625" style="172"/>
    <col min="12545" max="12545" width="6.6640625" style="172" customWidth="1"/>
    <col min="12546" max="12546" width="1.5546875" style="172" customWidth="1"/>
    <col min="12547" max="12547" width="9.33203125" style="172" customWidth="1"/>
    <col min="12548" max="12548" width="1.5546875" style="172" customWidth="1"/>
    <col min="12549" max="12549" width="6.6640625" style="172" customWidth="1"/>
    <col min="12550" max="12552" width="9.33203125" style="172" customWidth="1"/>
    <col min="12553" max="12553" width="11" style="172" customWidth="1"/>
    <col min="12554" max="12555" width="6.6640625" style="172" customWidth="1"/>
    <col min="12556" max="12556" width="5.6640625" style="172" customWidth="1"/>
    <col min="12557" max="12557" width="6.6640625" style="172" customWidth="1"/>
    <col min="12558" max="12558" width="1.5546875" style="172" customWidth="1"/>
    <col min="12559" max="12559" width="6.33203125" style="172" customWidth="1"/>
    <col min="12560" max="12564" width="6.6640625" style="172" customWidth="1"/>
    <col min="12565" max="12800" width="10.6640625" style="172"/>
    <col min="12801" max="12801" width="6.6640625" style="172" customWidth="1"/>
    <col min="12802" max="12802" width="1.5546875" style="172" customWidth="1"/>
    <col min="12803" max="12803" width="9.33203125" style="172" customWidth="1"/>
    <col min="12804" max="12804" width="1.5546875" style="172" customWidth="1"/>
    <col min="12805" max="12805" width="6.6640625" style="172" customWidth="1"/>
    <col min="12806" max="12808" width="9.33203125" style="172" customWidth="1"/>
    <col min="12809" max="12809" width="11" style="172" customWidth="1"/>
    <col min="12810" max="12811" width="6.6640625" style="172" customWidth="1"/>
    <col min="12812" max="12812" width="5.6640625" style="172" customWidth="1"/>
    <col min="12813" max="12813" width="6.6640625" style="172" customWidth="1"/>
    <col min="12814" max="12814" width="1.5546875" style="172" customWidth="1"/>
    <col min="12815" max="12815" width="6.33203125" style="172" customWidth="1"/>
    <col min="12816" max="12820" width="6.6640625" style="172" customWidth="1"/>
    <col min="12821" max="13056" width="10.6640625" style="172"/>
    <col min="13057" max="13057" width="6.6640625" style="172" customWidth="1"/>
    <col min="13058" max="13058" width="1.5546875" style="172" customWidth="1"/>
    <col min="13059" max="13059" width="9.33203125" style="172" customWidth="1"/>
    <col min="13060" max="13060" width="1.5546875" style="172" customWidth="1"/>
    <col min="13061" max="13061" width="6.6640625" style="172" customWidth="1"/>
    <col min="13062" max="13064" width="9.33203125" style="172" customWidth="1"/>
    <col min="13065" max="13065" width="11" style="172" customWidth="1"/>
    <col min="13066" max="13067" width="6.6640625" style="172" customWidth="1"/>
    <col min="13068" max="13068" width="5.6640625" style="172" customWidth="1"/>
    <col min="13069" max="13069" width="6.6640625" style="172" customWidth="1"/>
    <col min="13070" max="13070" width="1.5546875" style="172" customWidth="1"/>
    <col min="13071" max="13071" width="6.33203125" style="172" customWidth="1"/>
    <col min="13072" max="13076" width="6.6640625" style="172" customWidth="1"/>
    <col min="13077" max="13312" width="10.6640625" style="172"/>
    <col min="13313" max="13313" width="6.6640625" style="172" customWidth="1"/>
    <col min="13314" max="13314" width="1.5546875" style="172" customWidth="1"/>
    <col min="13315" max="13315" width="9.33203125" style="172" customWidth="1"/>
    <col min="13316" max="13316" width="1.5546875" style="172" customWidth="1"/>
    <col min="13317" max="13317" width="6.6640625" style="172" customWidth="1"/>
    <col min="13318" max="13320" width="9.33203125" style="172" customWidth="1"/>
    <col min="13321" max="13321" width="11" style="172" customWidth="1"/>
    <col min="13322" max="13323" width="6.6640625" style="172" customWidth="1"/>
    <col min="13324" max="13324" width="5.6640625" style="172" customWidth="1"/>
    <col min="13325" max="13325" width="6.6640625" style="172" customWidth="1"/>
    <col min="13326" max="13326" width="1.5546875" style="172" customWidth="1"/>
    <col min="13327" max="13327" width="6.33203125" style="172" customWidth="1"/>
    <col min="13328" max="13332" width="6.6640625" style="172" customWidth="1"/>
    <col min="13333" max="13568" width="10.6640625" style="172"/>
    <col min="13569" max="13569" width="6.6640625" style="172" customWidth="1"/>
    <col min="13570" max="13570" width="1.5546875" style="172" customWidth="1"/>
    <col min="13571" max="13571" width="9.33203125" style="172" customWidth="1"/>
    <col min="13572" max="13572" width="1.5546875" style="172" customWidth="1"/>
    <col min="13573" max="13573" width="6.6640625" style="172" customWidth="1"/>
    <col min="13574" max="13576" width="9.33203125" style="172" customWidth="1"/>
    <col min="13577" max="13577" width="11" style="172" customWidth="1"/>
    <col min="13578" max="13579" width="6.6640625" style="172" customWidth="1"/>
    <col min="13580" max="13580" width="5.6640625" style="172" customWidth="1"/>
    <col min="13581" max="13581" width="6.6640625" style="172" customWidth="1"/>
    <col min="13582" max="13582" width="1.5546875" style="172" customWidth="1"/>
    <col min="13583" max="13583" width="6.33203125" style="172" customWidth="1"/>
    <col min="13584" max="13588" width="6.6640625" style="172" customWidth="1"/>
    <col min="13589" max="13824" width="10.6640625" style="172"/>
    <col min="13825" max="13825" width="6.6640625" style="172" customWidth="1"/>
    <col min="13826" max="13826" width="1.5546875" style="172" customWidth="1"/>
    <col min="13827" max="13827" width="9.33203125" style="172" customWidth="1"/>
    <col min="13828" max="13828" width="1.5546875" style="172" customWidth="1"/>
    <col min="13829" max="13829" width="6.6640625" style="172" customWidth="1"/>
    <col min="13830" max="13832" width="9.33203125" style="172" customWidth="1"/>
    <col min="13833" max="13833" width="11" style="172" customWidth="1"/>
    <col min="13834" max="13835" width="6.6640625" style="172" customWidth="1"/>
    <col min="13836" max="13836" width="5.6640625" style="172" customWidth="1"/>
    <col min="13837" max="13837" width="6.6640625" style="172" customWidth="1"/>
    <col min="13838" max="13838" width="1.5546875" style="172" customWidth="1"/>
    <col min="13839" max="13839" width="6.33203125" style="172" customWidth="1"/>
    <col min="13840" max="13844" width="6.6640625" style="172" customWidth="1"/>
    <col min="13845" max="14080" width="10.6640625" style="172"/>
    <col min="14081" max="14081" width="6.6640625" style="172" customWidth="1"/>
    <col min="14082" max="14082" width="1.5546875" style="172" customWidth="1"/>
    <col min="14083" max="14083" width="9.33203125" style="172" customWidth="1"/>
    <col min="14084" max="14084" width="1.5546875" style="172" customWidth="1"/>
    <col min="14085" max="14085" width="6.6640625" style="172" customWidth="1"/>
    <col min="14086" max="14088" width="9.33203125" style="172" customWidth="1"/>
    <col min="14089" max="14089" width="11" style="172" customWidth="1"/>
    <col min="14090" max="14091" width="6.6640625" style="172" customWidth="1"/>
    <col min="14092" max="14092" width="5.6640625" style="172" customWidth="1"/>
    <col min="14093" max="14093" width="6.6640625" style="172" customWidth="1"/>
    <col min="14094" max="14094" width="1.5546875" style="172" customWidth="1"/>
    <col min="14095" max="14095" width="6.33203125" style="172" customWidth="1"/>
    <col min="14096" max="14100" width="6.6640625" style="172" customWidth="1"/>
    <col min="14101" max="14336" width="10.6640625" style="172"/>
    <col min="14337" max="14337" width="6.6640625" style="172" customWidth="1"/>
    <col min="14338" max="14338" width="1.5546875" style="172" customWidth="1"/>
    <col min="14339" max="14339" width="9.33203125" style="172" customWidth="1"/>
    <col min="14340" max="14340" width="1.5546875" style="172" customWidth="1"/>
    <col min="14341" max="14341" width="6.6640625" style="172" customWidth="1"/>
    <col min="14342" max="14344" width="9.33203125" style="172" customWidth="1"/>
    <col min="14345" max="14345" width="11" style="172" customWidth="1"/>
    <col min="14346" max="14347" width="6.6640625" style="172" customWidth="1"/>
    <col min="14348" max="14348" width="5.6640625" style="172" customWidth="1"/>
    <col min="14349" max="14349" width="6.6640625" style="172" customWidth="1"/>
    <col min="14350" max="14350" width="1.5546875" style="172" customWidth="1"/>
    <col min="14351" max="14351" width="6.33203125" style="172" customWidth="1"/>
    <col min="14352" max="14356" width="6.6640625" style="172" customWidth="1"/>
    <col min="14357" max="14592" width="10.6640625" style="172"/>
    <col min="14593" max="14593" width="6.6640625" style="172" customWidth="1"/>
    <col min="14594" max="14594" width="1.5546875" style="172" customWidth="1"/>
    <col min="14595" max="14595" width="9.33203125" style="172" customWidth="1"/>
    <col min="14596" max="14596" width="1.5546875" style="172" customWidth="1"/>
    <col min="14597" max="14597" width="6.6640625" style="172" customWidth="1"/>
    <col min="14598" max="14600" width="9.33203125" style="172" customWidth="1"/>
    <col min="14601" max="14601" width="11" style="172" customWidth="1"/>
    <col min="14602" max="14603" width="6.6640625" style="172" customWidth="1"/>
    <col min="14604" max="14604" width="5.6640625" style="172" customWidth="1"/>
    <col min="14605" max="14605" width="6.6640625" style="172" customWidth="1"/>
    <col min="14606" max="14606" width="1.5546875" style="172" customWidth="1"/>
    <col min="14607" max="14607" width="6.33203125" style="172" customWidth="1"/>
    <col min="14608" max="14612" width="6.6640625" style="172" customWidth="1"/>
    <col min="14613" max="14848" width="10.6640625" style="172"/>
    <col min="14849" max="14849" width="6.6640625" style="172" customWidth="1"/>
    <col min="14850" max="14850" width="1.5546875" style="172" customWidth="1"/>
    <col min="14851" max="14851" width="9.33203125" style="172" customWidth="1"/>
    <col min="14852" max="14852" width="1.5546875" style="172" customWidth="1"/>
    <col min="14853" max="14853" width="6.6640625" style="172" customWidth="1"/>
    <col min="14854" max="14856" width="9.33203125" style="172" customWidth="1"/>
    <col min="14857" max="14857" width="11" style="172" customWidth="1"/>
    <col min="14858" max="14859" width="6.6640625" style="172" customWidth="1"/>
    <col min="14860" max="14860" width="5.6640625" style="172" customWidth="1"/>
    <col min="14861" max="14861" width="6.6640625" style="172" customWidth="1"/>
    <col min="14862" max="14862" width="1.5546875" style="172" customWidth="1"/>
    <col min="14863" max="14863" width="6.33203125" style="172" customWidth="1"/>
    <col min="14864" max="14868" width="6.6640625" style="172" customWidth="1"/>
    <col min="14869" max="15104" width="10.6640625" style="172"/>
    <col min="15105" max="15105" width="6.6640625" style="172" customWidth="1"/>
    <col min="15106" max="15106" width="1.5546875" style="172" customWidth="1"/>
    <col min="15107" max="15107" width="9.33203125" style="172" customWidth="1"/>
    <col min="15108" max="15108" width="1.5546875" style="172" customWidth="1"/>
    <col min="15109" max="15109" width="6.6640625" style="172" customWidth="1"/>
    <col min="15110" max="15112" width="9.33203125" style="172" customWidth="1"/>
    <col min="15113" max="15113" width="11" style="172" customWidth="1"/>
    <col min="15114" max="15115" width="6.6640625" style="172" customWidth="1"/>
    <col min="15116" max="15116" width="5.6640625" style="172" customWidth="1"/>
    <col min="15117" max="15117" width="6.6640625" style="172" customWidth="1"/>
    <col min="15118" max="15118" width="1.5546875" style="172" customWidth="1"/>
    <col min="15119" max="15119" width="6.33203125" style="172" customWidth="1"/>
    <col min="15120" max="15124" width="6.6640625" style="172" customWidth="1"/>
    <col min="15125" max="15360" width="10.6640625" style="172"/>
    <col min="15361" max="15361" width="6.6640625" style="172" customWidth="1"/>
    <col min="15362" max="15362" width="1.5546875" style="172" customWidth="1"/>
    <col min="15363" max="15363" width="9.33203125" style="172" customWidth="1"/>
    <col min="15364" max="15364" width="1.5546875" style="172" customWidth="1"/>
    <col min="15365" max="15365" width="6.6640625" style="172" customWidth="1"/>
    <col min="15366" max="15368" width="9.33203125" style="172" customWidth="1"/>
    <col min="15369" max="15369" width="11" style="172" customWidth="1"/>
    <col min="15370" max="15371" width="6.6640625" style="172" customWidth="1"/>
    <col min="15372" max="15372" width="5.6640625" style="172" customWidth="1"/>
    <col min="15373" max="15373" width="6.6640625" style="172" customWidth="1"/>
    <col min="15374" max="15374" width="1.5546875" style="172" customWidth="1"/>
    <col min="15375" max="15375" width="6.33203125" style="172" customWidth="1"/>
    <col min="15376" max="15380" width="6.6640625" style="172" customWidth="1"/>
    <col min="15381" max="15616" width="10.6640625" style="172"/>
    <col min="15617" max="15617" width="6.6640625" style="172" customWidth="1"/>
    <col min="15618" max="15618" width="1.5546875" style="172" customWidth="1"/>
    <col min="15619" max="15619" width="9.33203125" style="172" customWidth="1"/>
    <col min="15620" max="15620" width="1.5546875" style="172" customWidth="1"/>
    <col min="15621" max="15621" width="6.6640625" style="172" customWidth="1"/>
    <col min="15622" max="15624" width="9.33203125" style="172" customWidth="1"/>
    <col min="15625" max="15625" width="11" style="172" customWidth="1"/>
    <col min="15626" max="15627" width="6.6640625" style="172" customWidth="1"/>
    <col min="15628" max="15628" width="5.6640625" style="172" customWidth="1"/>
    <col min="15629" max="15629" width="6.6640625" style="172" customWidth="1"/>
    <col min="15630" max="15630" width="1.5546875" style="172" customWidth="1"/>
    <col min="15631" max="15631" width="6.33203125" style="172" customWidth="1"/>
    <col min="15632" max="15636" width="6.6640625" style="172" customWidth="1"/>
    <col min="15637" max="15872" width="10.6640625" style="172"/>
    <col min="15873" max="15873" width="6.6640625" style="172" customWidth="1"/>
    <col min="15874" max="15874" width="1.5546875" style="172" customWidth="1"/>
    <col min="15875" max="15875" width="9.33203125" style="172" customWidth="1"/>
    <col min="15876" max="15876" width="1.5546875" style="172" customWidth="1"/>
    <col min="15877" max="15877" width="6.6640625" style="172" customWidth="1"/>
    <col min="15878" max="15880" width="9.33203125" style="172" customWidth="1"/>
    <col min="15881" max="15881" width="11" style="172" customWidth="1"/>
    <col min="15882" max="15883" width="6.6640625" style="172" customWidth="1"/>
    <col min="15884" max="15884" width="5.6640625" style="172" customWidth="1"/>
    <col min="15885" max="15885" width="6.6640625" style="172" customWidth="1"/>
    <col min="15886" max="15886" width="1.5546875" style="172" customWidth="1"/>
    <col min="15887" max="15887" width="6.33203125" style="172" customWidth="1"/>
    <col min="15888" max="15892" width="6.6640625" style="172" customWidth="1"/>
    <col min="15893" max="16128" width="10.6640625" style="172"/>
    <col min="16129" max="16129" width="6.6640625" style="172" customWidth="1"/>
    <col min="16130" max="16130" width="1.5546875" style="172" customWidth="1"/>
    <col min="16131" max="16131" width="9.33203125" style="172" customWidth="1"/>
    <col min="16132" max="16132" width="1.5546875" style="172" customWidth="1"/>
    <col min="16133" max="16133" width="6.6640625" style="172" customWidth="1"/>
    <col min="16134" max="16136" width="9.33203125" style="172" customWidth="1"/>
    <col min="16137" max="16137" width="11" style="172" customWidth="1"/>
    <col min="16138" max="16139" width="6.6640625" style="172" customWidth="1"/>
    <col min="16140" max="16140" width="5.6640625" style="172" customWidth="1"/>
    <col min="16141" max="16141" width="6.6640625" style="172" customWidth="1"/>
    <col min="16142" max="16142" width="1.5546875" style="172" customWidth="1"/>
    <col min="16143" max="16143" width="6.33203125" style="172" customWidth="1"/>
    <col min="16144" max="16148" width="6.6640625" style="172" customWidth="1"/>
    <col min="16149" max="16384" width="10.6640625" style="172"/>
  </cols>
  <sheetData>
    <row r="1" spans="1:20" x14ac:dyDescent="0.25">
      <c r="A1" s="53" t="s">
        <v>753</v>
      </c>
      <c r="B1" s="54" t="str">
        <f>+Info!C10</f>
        <v>Clinique Ste-Mammo</v>
      </c>
      <c r="C1" s="55"/>
      <c r="D1" s="55"/>
      <c r="E1" s="56" t="s">
        <v>755</v>
      </c>
      <c r="F1" s="55"/>
      <c r="G1" s="55"/>
      <c r="H1" s="203" t="str">
        <f>+Info!C37</f>
        <v>20-01-2020</v>
      </c>
    </row>
    <row r="2" spans="1:20" x14ac:dyDescent="0.25">
      <c r="A2" s="58" t="s">
        <v>754</v>
      </c>
      <c r="B2" s="59" t="str">
        <f>+Info!C21</f>
        <v>Salle 2, Hirad IV</v>
      </c>
      <c r="C2" s="51"/>
      <c r="D2" s="51"/>
      <c r="E2" s="60" t="s">
        <v>756</v>
      </c>
      <c r="F2" s="51"/>
      <c r="G2" s="51"/>
      <c r="H2" s="61" t="str">
        <f>+Info!C35</f>
        <v>Alexandre Toussaint</v>
      </c>
    </row>
    <row r="3" spans="1:20" x14ac:dyDescent="0.25">
      <c r="A3" s="176"/>
      <c r="B3" s="176"/>
      <c r="C3" s="176"/>
      <c r="D3" s="176"/>
      <c r="E3" s="176"/>
      <c r="F3" s="176"/>
      <c r="G3" s="176"/>
      <c r="H3" s="176"/>
    </row>
    <row r="4" spans="1:20" x14ac:dyDescent="0.25">
      <c r="A4" s="116" t="s">
        <v>802</v>
      </c>
      <c r="B4" s="116"/>
      <c r="C4" s="116"/>
      <c r="D4" s="116"/>
      <c r="E4" s="116"/>
      <c r="F4" s="116"/>
      <c r="G4" s="116"/>
      <c r="H4" s="116"/>
      <c r="I4" s="447"/>
      <c r="J4" s="448"/>
      <c r="K4" s="448"/>
      <c r="L4" s="448"/>
      <c r="M4" s="448"/>
    </row>
    <row r="5" spans="1:20" ht="15.6" x14ac:dyDescent="0.3">
      <c r="A5" s="177" t="s">
        <v>803</v>
      </c>
      <c r="B5" s="865" t="s">
        <v>142</v>
      </c>
      <c r="C5" s="865" t="s">
        <v>143</v>
      </c>
      <c r="D5" s="176"/>
      <c r="E5" s="176"/>
      <c r="F5" s="176"/>
      <c r="G5" s="176"/>
      <c r="H5" s="176"/>
      <c r="I5" s="449"/>
      <c r="J5" s="450"/>
      <c r="K5" s="450"/>
      <c r="L5" s="450"/>
    </row>
    <row r="6" spans="1:20" ht="13.2" customHeight="1" x14ac:dyDescent="0.25">
      <c r="A6" s="179" t="s">
        <v>793</v>
      </c>
      <c r="B6" s="866">
        <v>45</v>
      </c>
      <c r="C6" s="866">
        <v>45</v>
      </c>
      <c r="D6" s="605"/>
      <c r="E6" s="176"/>
      <c r="F6" s="176"/>
      <c r="G6" s="176"/>
      <c r="H6" s="176"/>
      <c r="J6" s="451" t="s">
        <v>138</v>
      </c>
      <c r="K6" s="452"/>
      <c r="L6" s="453"/>
      <c r="M6" s="453"/>
      <c r="N6" s="453"/>
      <c r="O6" s="453"/>
      <c r="P6" s="175"/>
      <c r="Q6" s="175"/>
      <c r="R6" s="175"/>
      <c r="S6" s="175"/>
      <c r="T6" s="175"/>
    </row>
    <row r="7" spans="1:20" ht="13.2" customHeight="1" x14ac:dyDescent="0.25">
      <c r="A7" s="179" t="s">
        <v>794</v>
      </c>
      <c r="B7" s="866">
        <v>30</v>
      </c>
      <c r="C7" s="866">
        <v>30</v>
      </c>
      <c r="D7" s="176"/>
      <c r="E7" s="176"/>
      <c r="F7" s="176"/>
      <c r="G7" s="176"/>
      <c r="H7" s="176"/>
      <c r="J7" s="454" t="s">
        <v>139</v>
      </c>
      <c r="K7" s="455"/>
      <c r="L7" s="456"/>
      <c r="M7" s="456"/>
      <c r="N7" s="456"/>
      <c r="O7" s="456"/>
      <c r="P7" s="175"/>
      <c r="Q7" s="175"/>
      <c r="R7" s="175"/>
      <c r="S7" s="175"/>
      <c r="T7" s="175"/>
    </row>
    <row r="8" spans="1:20" ht="13.2" customHeight="1" x14ac:dyDescent="0.25">
      <c r="A8" s="179" t="s">
        <v>804</v>
      </c>
      <c r="B8" s="867" t="s">
        <v>66</v>
      </c>
      <c r="C8" s="867" t="s">
        <v>66</v>
      </c>
      <c r="D8" s="176"/>
      <c r="E8" s="176"/>
      <c r="F8" s="176"/>
      <c r="G8" s="176"/>
      <c r="H8" s="176"/>
    </row>
    <row r="9" spans="1:20" ht="13.2" customHeight="1" x14ac:dyDescent="0.25">
      <c r="A9" s="179" t="s">
        <v>795</v>
      </c>
      <c r="B9" s="866" t="s">
        <v>436</v>
      </c>
      <c r="C9" s="866" t="s">
        <v>436</v>
      </c>
      <c r="D9" s="176"/>
      <c r="E9" s="176"/>
      <c r="F9" s="176"/>
      <c r="G9" s="176"/>
      <c r="H9" s="176"/>
    </row>
    <row r="10" spans="1:20" ht="13.2" customHeight="1" x14ac:dyDescent="0.25">
      <c r="A10" s="179" t="s">
        <v>796</v>
      </c>
      <c r="B10" s="866">
        <v>-1</v>
      </c>
      <c r="C10" s="866">
        <v>2</v>
      </c>
      <c r="D10" s="176"/>
      <c r="E10" s="176"/>
      <c r="F10" s="176"/>
      <c r="G10" s="176"/>
      <c r="H10" s="176"/>
    </row>
    <row r="11" spans="1:20" ht="13.2" customHeight="1" x14ac:dyDescent="0.3">
      <c r="A11" s="179" t="s">
        <v>797</v>
      </c>
      <c r="B11" s="866" t="s">
        <v>437</v>
      </c>
      <c r="C11" s="866" t="s">
        <v>437</v>
      </c>
      <c r="D11" s="176"/>
      <c r="E11" s="176"/>
      <c r="F11" s="176"/>
      <c r="G11" s="176"/>
      <c r="H11" s="176"/>
      <c r="K11" s="920" t="s">
        <v>1109</v>
      </c>
      <c r="L11" s="920"/>
      <c r="M11" s="920"/>
      <c r="N11" s="920"/>
      <c r="O11" s="920"/>
    </row>
    <row r="12" spans="1:20" ht="12.75" customHeight="1" x14ac:dyDescent="0.3">
      <c r="D12" s="176"/>
      <c r="E12" s="176"/>
      <c r="F12" s="176"/>
      <c r="G12" s="176"/>
      <c r="H12" s="176"/>
      <c r="J12" s="919"/>
      <c r="K12" s="920" t="s">
        <v>140</v>
      </c>
      <c r="L12" s="920" t="s">
        <v>651</v>
      </c>
      <c r="M12" s="919"/>
      <c r="N12" s="919"/>
      <c r="O12" s="919"/>
      <c r="P12" s="915" t="s">
        <v>200</v>
      </c>
      <c r="Q12" s="919"/>
      <c r="R12" s="919"/>
      <c r="S12" s="919"/>
    </row>
    <row r="13" spans="1:20" ht="12.75" customHeight="1" x14ac:dyDescent="0.3">
      <c r="A13" s="179" t="s">
        <v>1072</v>
      </c>
      <c r="B13" s="606" t="str">
        <f>Éqpmt!$B$6</f>
        <v>DR</v>
      </c>
      <c r="C13" s="517" t="s">
        <v>142</v>
      </c>
      <c r="D13" s="605"/>
      <c r="E13" s="176"/>
      <c r="F13" s="176"/>
      <c r="G13" s="176"/>
      <c r="H13" s="176"/>
      <c r="J13" s="919"/>
      <c r="K13" s="920" t="s">
        <v>141</v>
      </c>
      <c r="L13" s="921" t="s">
        <v>142</v>
      </c>
      <c r="M13" s="919"/>
      <c r="N13" s="919"/>
      <c r="O13" s="919"/>
      <c r="P13" s="917" t="s">
        <v>66</v>
      </c>
      <c r="Q13" s="919"/>
      <c r="R13" s="919"/>
      <c r="S13" s="919"/>
    </row>
    <row r="14" spans="1:20" ht="12.75" customHeight="1" x14ac:dyDescent="0.3">
      <c r="A14" s="563" t="s">
        <v>805</v>
      </c>
      <c r="B14" s="192" t="s">
        <v>697</v>
      </c>
      <c r="C14" s="607" t="s">
        <v>806</v>
      </c>
      <c r="D14" s="192">
        <v>75</v>
      </c>
      <c r="E14" s="176"/>
      <c r="F14" s="176"/>
      <c r="G14" s="176"/>
      <c r="H14" s="176"/>
      <c r="J14" s="919"/>
      <c r="K14" s="920" t="s">
        <v>83</v>
      </c>
      <c r="L14" s="921" t="s">
        <v>143</v>
      </c>
      <c r="M14" s="919"/>
      <c r="N14" s="919"/>
      <c r="O14" s="919"/>
      <c r="P14" s="917" t="s">
        <v>123</v>
      </c>
      <c r="Q14" s="919"/>
      <c r="R14" s="919"/>
      <c r="S14" s="919"/>
    </row>
    <row r="15" spans="1:20" ht="12.75" customHeight="1" x14ac:dyDescent="0.3">
      <c r="A15" s="549" t="s">
        <v>144</v>
      </c>
      <c r="B15" s="457" t="s">
        <v>161</v>
      </c>
      <c r="C15" s="457" t="s">
        <v>145</v>
      </c>
      <c r="D15" s="548" t="s">
        <v>146</v>
      </c>
      <c r="E15" s="1640" t="s">
        <v>147</v>
      </c>
      <c r="F15" s="458" t="s">
        <v>148</v>
      </c>
      <c r="G15" s="1518" t="s">
        <v>15</v>
      </c>
      <c r="H15" s="1518"/>
      <c r="J15" s="919"/>
      <c r="K15" s="920"/>
      <c r="L15" s="922"/>
      <c r="M15" s="919"/>
      <c r="N15" s="919"/>
      <c r="O15" s="919"/>
      <c r="P15" s="917" t="s">
        <v>124</v>
      </c>
      <c r="Q15" s="919"/>
      <c r="R15" s="919"/>
      <c r="S15" s="919"/>
    </row>
    <row r="16" spans="1:20" ht="12.75" customHeight="1" x14ac:dyDescent="0.3">
      <c r="A16" s="459" t="s">
        <v>149</v>
      </c>
      <c r="B16" s="460" t="s">
        <v>150</v>
      </c>
      <c r="C16" s="461" t="s">
        <v>156</v>
      </c>
      <c r="D16" s="462" t="s">
        <v>157</v>
      </c>
      <c r="E16" s="1641"/>
      <c r="F16" s="463" t="s">
        <v>152</v>
      </c>
      <c r="G16" s="534" t="s">
        <v>16</v>
      </c>
      <c r="H16" s="534" t="s">
        <v>17</v>
      </c>
      <c r="J16" s="919"/>
      <c r="K16" s="920"/>
      <c r="L16" s="920"/>
      <c r="M16" s="919"/>
      <c r="N16" s="919"/>
      <c r="O16" s="919"/>
      <c r="P16" s="917" t="s">
        <v>202</v>
      </c>
      <c r="Q16" s="919"/>
      <c r="R16" s="919"/>
      <c r="S16" s="919"/>
    </row>
    <row r="17" spans="1:19" ht="13.2" customHeight="1" x14ac:dyDescent="0.3">
      <c r="A17" s="498">
        <v>1</v>
      </c>
      <c r="B17" s="193">
        <v>703</v>
      </c>
      <c r="C17" s="188">
        <v>11</v>
      </c>
      <c r="D17" s="464">
        <f>IF(COUNTIF($B$17:$C$25,""),"",B17/C17)</f>
        <v>63.909090909090907</v>
      </c>
      <c r="E17" s="1642">
        <f>IF(COUNTIF($B$17:$C$25,""),"",AVERAGE(D17:D19))</f>
        <v>75.090909090909079</v>
      </c>
      <c r="F17" s="46">
        <f>IF(COUNTIF($B$17:$C$25,""),"",+ABS(D17-E$17)/E$17)</f>
        <v>0.14891041162227595</v>
      </c>
      <c r="G17" s="465" t="str">
        <f t="shared" ref="G17:G25" si="0">IF(COUNTIF($B$17:$C$25,""),"",IF($B$13="DR",IF(F17&lt;=0.06,"X",""),IF(F17&lt;=0.15,"X","")))</f>
        <v/>
      </c>
      <c r="H17" s="465" t="str">
        <f t="shared" ref="H17:H25" si="1">IF(COUNTIF($B$17:$C$25,""),"",IF($B$13="DR",IF(F17&gt;0.06,"X",""),IF(F17&gt;0.15,"X","")))</f>
        <v>X</v>
      </c>
      <c r="J17" s="919"/>
      <c r="K17" s="919"/>
      <c r="L17" s="919"/>
      <c r="M17" s="919"/>
      <c r="N17" s="919"/>
      <c r="O17" s="919"/>
      <c r="P17" s="917" t="s">
        <v>203</v>
      </c>
      <c r="Q17" s="919"/>
      <c r="R17" s="919"/>
      <c r="S17" s="919"/>
    </row>
    <row r="18" spans="1:19" ht="13.2" customHeight="1" x14ac:dyDescent="0.3">
      <c r="A18" s="499">
        <v>2</v>
      </c>
      <c r="B18" s="193">
        <v>750</v>
      </c>
      <c r="C18" s="188">
        <v>10</v>
      </c>
      <c r="D18" s="464">
        <f t="shared" ref="D18:D25" si="2">IF(COUNTIF($B$17:$C$25,""),"",B18/C18)</f>
        <v>75</v>
      </c>
      <c r="E18" s="1643"/>
      <c r="F18" s="46">
        <f t="shared" ref="F18:F19" si="3">IF(COUNTIF($B$17:$C$25,""),"",+ABS(D18-E$17)/E$17)</f>
        <v>1.2106537530264798E-3</v>
      </c>
      <c r="G18" s="465" t="str">
        <f t="shared" si="0"/>
        <v>X</v>
      </c>
      <c r="H18" s="465" t="str">
        <f t="shared" si="1"/>
        <v/>
      </c>
      <c r="I18" s="173"/>
      <c r="J18" s="919"/>
      <c r="K18" s="919"/>
      <c r="L18" s="919"/>
      <c r="M18" s="919"/>
      <c r="N18" s="919"/>
      <c r="O18" s="919"/>
      <c r="P18" s="917" t="s">
        <v>204</v>
      </c>
      <c r="Q18" s="919"/>
      <c r="R18" s="919"/>
      <c r="S18" s="919"/>
    </row>
    <row r="19" spans="1:19" ht="13.2" customHeight="1" x14ac:dyDescent="0.3">
      <c r="A19" s="499">
        <v>3</v>
      </c>
      <c r="B19" s="193">
        <v>950</v>
      </c>
      <c r="C19" s="188">
        <v>11</v>
      </c>
      <c r="D19" s="464">
        <f t="shared" si="2"/>
        <v>86.36363636363636</v>
      </c>
      <c r="E19" s="1644"/>
      <c r="F19" s="46">
        <f t="shared" si="3"/>
        <v>0.15012106537530279</v>
      </c>
      <c r="G19" s="465" t="str">
        <f t="shared" si="0"/>
        <v/>
      </c>
      <c r="H19" s="465" t="str">
        <f t="shared" si="1"/>
        <v>X</v>
      </c>
      <c r="I19" s="173"/>
      <c r="J19" s="919"/>
      <c r="K19" s="919"/>
      <c r="L19" s="919"/>
      <c r="M19" s="919"/>
      <c r="N19" s="919"/>
      <c r="O19" s="919"/>
      <c r="P19" s="918" t="s">
        <v>912</v>
      </c>
      <c r="Q19" s="919"/>
      <c r="R19" s="919"/>
      <c r="S19" s="919"/>
    </row>
    <row r="20" spans="1:19" ht="13.2" customHeight="1" x14ac:dyDescent="0.3">
      <c r="A20" s="199">
        <v>4</v>
      </c>
      <c r="B20" s="195">
        <v>1300</v>
      </c>
      <c r="C20" s="188">
        <v>10</v>
      </c>
      <c r="D20" s="464">
        <f t="shared" si="2"/>
        <v>130</v>
      </c>
      <c r="E20" s="1642">
        <f t="shared" ref="E20" si="4">IF(COUNTIF($B$17:$C$25,""),"",AVERAGE(D20:D22))</f>
        <v>117.77777777777777</v>
      </c>
      <c r="F20" s="46">
        <f>IF(COUNTIF($B$17:$C$25,""),"",+ABS(D20-E$20)/E$20)</f>
        <v>0.10377358490566044</v>
      </c>
      <c r="G20" s="465" t="str">
        <f t="shared" si="0"/>
        <v/>
      </c>
      <c r="H20" s="465" t="str">
        <f t="shared" si="1"/>
        <v>X</v>
      </c>
      <c r="I20" s="128"/>
      <c r="J20" s="919"/>
      <c r="K20" s="919"/>
      <c r="L20" s="919"/>
      <c r="M20" s="919"/>
      <c r="N20" s="919"/>
      <c r="O20" s="919"/>
      <c r="P20" s="919"/>
      <c r="Q20" s="919"/>
      <c r="R20" s="919"/>
      <c r="S20" s="919"/>
    </row>
    <row r="21" spans="1:19" ht="13.2" customHeight="1" x14ac:dyDescent="0.3">
      <c r="A21" s="200">
        <v>5</v>
      </c>
      <c r="B21" s="196">
        <v>1400</v>
      </c>
      <c r="C21" s="188">
        <v>15</v>
      </c>
      <c r="D21" s="464">
        <f t="shared" si="2"/>
        <v>93.333333333333329</v>
      </c>
      <c r="E21" s="1643"/>
      <c r="F21" s="46">
        <f t="shared" ref="F21" si="5">IF(COUNTIF($B$17:$C$25,""),"",+ABS(D21-E$20)/E$20)</f>
        <v>0.20754716981132076</v>
      </c>
      <c r="G21" s="465" t="str">
        <f t="shared" si="0"/>
        <v/>
      </c>
      <c r="H21" s="465" t="str">
        <f t="shared" si="1"/>
        <v>X</v>
      </c>
      <c r="I21" s="128"/>
      <c r="J21" s="920" t="s">
        <v>153</v>
      </c>
      <c r="K21" s="920"/>
      <c r="L21" s="920"/>
      <c r="M21" s="920"/>
      <c r="N21" s="920"/>
      <c r="O21" s="920"/>
      <c r="P21" s="920"/>
      <c r="Q21" s="920"/>
      <c r="R21" s="919"/>
      <c r="S21" s="919"/>
    </row>
    <row r="22" spans="1:19" ht="13.2" customHeight="1" x14ac:dyDescent="0.3">
      <c r="A22" s="199">
        <v>6</v>
      </c>
      <c r="B22" s="196">
        <v>1300</v>
      </c>
      <c r="C22" s="188">
        <v>10</v>
      </c>
      <c r="D22" s="464">
        <f t="shared" si="2"/>
        <v>130</v>
      </c>
      <c r="E22" s="1644"/>
      <c r="F22" s="46">
        <f>IF(COUNTIF($B$17:$C$25,""),"",+ABS(D22-E$20)/E$20)</f>
        <v>0.10377358490566044</v>
      </c>
      <c r="G22" s="465" t="str">
        <f t="shared" si="0"/>
        <v/>
      </c>
      <c r="H22" s="465" t="str">
        <f t="shared" si="1"/>
        <v>X</v>
      </c>
      <c r="I22" s="128"/>
      <c r="J22" s="919"/>
      <c r="K22" s="919"/>
      <c r="L22" s="919"/>
      <c r="M22" s="919"/>
      <c r="N22" s="919"/>
      <c r="O22" s="919"/>
      <c r="P22" s="919"/>
      <c r="Q22" s="919"/>
      <c r="R22" s="919"/>
      <c r="S22" s="919"/>
    </row>
    <row r="23" spans="1:19" ht="13.2" customHeight="1" x14ac:dyDescent="0.3">
      <c r="A23" s="200">
        <v>7</v>
      </c>
      <c r="B23" s="196">
        <v>900</v>
      </c>
      <c r="C23" s="188">
        <v>10</v>
      </c>
      <c r="D23" s="464">
        <f t="shared" si="2"/>
        <v>90</v>
      </c>
      <c r="E23" s="1642">
        <f t="shared" ref="E23" si="6">IF(COUNTIF($B$17:$C$25,""),"",AVERAGE(D23:D25))</f>
        <v>114.24242424242425</v>
      </c>
      <c r="F23" s="46">
        <f>IF(COUNTIF($B$17:$C$25,""),"",+ABS(D23-E$23)/E$23)</f>
        <v>0.21220159151193638</v>
      </c>
      <c r="G23" s="465" t="str">
        <f t="shared" si="0"/>
        <v/>
      </c>
      <c r="H23" s="465" t="str">
        <f t="shared" si="1"/>
        <v>X</v>
      </c>
      <c r="I23" s="128"/>
      <c r="J23" s="920" t="s">
        <v>586</v>
      </c>
      <c r="K23" s="920"/>
      <c r="L23" s="920"/>
      <c r="M23" s="920"/>
      <c r="N23" s="920"/>
      <c r="O23" s="920"/>
      <c r="P23" s="920"/>
      <c r="Q23" s="920"/>
      <c r="R23" s="919"/>
      <c r="S23" s="919"/>
    </row>
    <row r="24" spans="1:19" ht="13.2" customHeight="1" x14ac:dyDescent="0.3">
      <c r="A24" s="201">
        <v>8</v>
      </c>
      <c r="B24" s="196">
        <v>1350</v>
      </c>
      <c r="C24" s="188">
        <v>11</v>
      </c>
      <c r="D24" s="464">
        <f t="shared" si="2"/>
        <v>122.72727272727273</v>
      </c>
      <c r="E24" s="1643"/>
      <c r="F24" s="46">
        <f t="shared" ref="F24:F25" si="7">IF(COUNTIF($B$17:$C$25,""),"",+ABS(D24-E$23)/E$23)</f>
        <v>7.4270557029177717E-2</v>
      </c>
      <c r="G24" s="465" t="str">
        <f t="shared" si="0"/>
        <v/>
      </c>
      <c r="H24" s="465" t="str">
        <f t="shared" si="1"/>
        <v>X</v>
      </c>
      <c r="I24" s="128"/>
      <c r="J24" s="920" t="s">
        <v>901</v>
      </c>
      <c r="K24" s="920"/>
      <c r="L24" s="920"/>
      <c r="M24" s="920"/>
      <c r="N24" s="920"/>
      <c r="O24" s="920"/>
      <c r="P24" s="920"/>
      <c r="Q24" s="920"/>
      <c r="R24" s="919"/>
      <c r="S24" s="919"/>
    </row>
    <row r="25" spans="1:19" ht="13.2" customHeight="1" x14ac:dyDescent="0.3">
      <c r="A25" s="180">
        <v>9</v>
      </c>
      <c r="B25" s="196">
        <v>1300</v>
      </c>
      <c r="C25" s="188">
        <v>10</v>
      </c>
      <c r="D25" s="464">
        <f t="shared" si="2"/>
        <v>130</v>
      </c>
      <c r="E25" s="1644"/>
      <c r="F25" s="46">
        <f t="shared" si="7"/>
        <v>0.13793103448275856</v>
      </c>
      <c r="G25" s="465" t="str">
        <f t="shared" si="0"/>
        <v/>
      </c>
      <c r="H25" s="465" t="str">
        <f t="shared" si="1"/>
        <v>X</v>
      </c>
      <c r="I25" s="128"/>
      <c r="J25" s="920" t="s">
        <v>902</v>
      </c>
      <c r="K25" s="920"/>
      <c r="L25" s="920"/>
      <c r="M25" s="920"/>
      <c r="N25" s="920"/>
      <c r="O25" s="920"/>
      <c r="P25" s="920"/>
      <c r="Q25" s="920"/>
      <c r="R25" s="919"/>
      <c r="S25" s="919"/>
    </row>
    <row r="26" spans="1:19" ht="14.4" x14ac:dyDescent="0.3">
      <c r="A26" s="176"/>
      <c r="B26" s="176"/>
      <c r="C26" s="176"/>
      <c r="D26" s="176"/>
      <c r="E26" s="176"/>
      <c r="F26" s="176"/>
      <c r="G26" s="176"/>
      <c r="H26" s="176"/>
      <c r="I26" s="128"/>
      <c r="J26" s="920" t="s">
        <v>587</v>
      </c>
      <c r="K26" s="920"/>
      <c r="L26" s="920"/>
      <c r="M26" s="920"/>
      <c r="N26" s="920"/>
      <c r="O26" s="920"/>
      <c r="P26" s="920"/>
      <c r="Q26" s="920"/>
      <c r="R26" s="919"/>
      <c r="S26" s="919"/>
    </row>
    <row r="27" spans="1:19" ht="14.4" x14ac:dyDescent="0.3">
      <c r="A27" s="179" t="s">
        <v>1107</v>
      </c>
      <c r="B27" s="606" t="str">
        <f>Éqpmt!$B$6</f>
        <v>DR</v>
      </c>
      <c r="C27" s="197" t="s">
        <v>143</v>
      </c>
      <c r="D27" s="604"/>
      <c r="E27" s="179"/>
      <c r="F27" s="173"/>
      <c r="G27" s="173"/>
      <c r="H27" s="173"/>
      <c r="I27" s="128"/>
      <c r="J27" s="919"/>
      <c r="K27" s="919"/>
      <c r="L27" s="919"/>
      <c r="M27" s="919"/>
      <c r="N27" s="919"/>
      <c r="O27" s="919"/>
      <c r="P27" s="919"/>
      <c r="Q27" s="919"/>
      <c r="R27" s="919"/>
      <c r="S27" s="919"/>
    </row>
    <row r="28" spans="1:19" ht="14.4" x14ac:dyDescent="0.3">
      <c r="A28" s="563" t="s">
        <v>805</v>
      </c>
      <c r="B28" s="192"/>
      <c r="C28" s="562" t="s">
        <v>585</v>
      </c>
      <c r="D28" s="192">
        <v>65</v>
      </c>
      <c r="E28" s="176"/>
      <c r="F28" s="176"/>
      <c r="G28" s="176"/>
      <c r="H28" s="176"/>
      <c r="I28" s="173"/>
      <c r="J28" s="919"/>
      <c r="K28" s="919"/>
      <c r="L28" s="919"/>
      <c r="M28" s="919"/>
      <c r="N28" s="919"/>
      <c r="O28" s="919"/>
      <c r="P28" s="919"/>
      <c r="Q28" s="919"/>
      <c r="R28" s="919"/>
      <c r="S28" s="919"/>
    </row>
    <row r="29" spans="1:19" ht="14.4" x14ac:dyDescent="0.3">
      <c r="A29" s="549" t="s">
        <v>144</v>
      </c>
      <c r="B29" s="457" t="s">
        <v>161</v>
      </c>
      <c r="C29" s="457" t="s">
        <v>145</v>
      </c>
      <c r="D29" s="548" t="s">
        <v>146</v>
      </c>
      <c r="E29" s="1640" t="s">
        <v>147</v>
      </c>
      <c r="F29" s="458" t="s">
        <v>148</v>
      </c>
      <c r="G29" s="1518" t="s">
        <v>15</v>
      </c>
      <c r="H29" s="1518"/>
      <c r="I29" s="173"/>
      <c r="J29" s="919"/>
      <c r="K29" s="919"/>
      <c r="L29" s="919"/>
      <c r="M29" s="919"/>
      <c r="N29" s="919"/>
      <c r="O29" s="919"/>
      <c r="P29" s="919"/>
      <c r="Q29" s="919"/>
      <c r="R29" s="919"/>
      <c r="S29" s="919"/>
    </row>
    <row r="30" spans="1:19" ht="12.75" customHeight="1" x14ac:dyDescent="0.3">
      <c r="A30" s="459" t="s">
        <v>149</v>
      </c>
      <c r="B30" s="460" t="s">
        <v>150</v>
      </c>
      <c r="C30" s="461" t="s">
        <v>156</v>
      </c>
      <c r="D30" s="462" t="s">
        <v>157</v>
      </c>
      <c r="E30" s="1641"/>
      <c r="F30" s="463" t="s">
        <v>152</v>
      </c>
      <c r="G30" s="534" t="s">
        <v>16</v>
      </c>
      <c r="H30" s="534" t="s">
        <v>17</v>
      </c>
      <c r="I30" s="173"/>
      <c r="J30" s="919"/>
      <c r="K30" s="919"/>
      <c r="L30" s="919"/>
      <c r="M30" s="919"/>
      <c r="N30" s="919"/>
      <c r="O30" s="919"/>
      <c r="P30" s="919"/>
      <c r="Q30" s="919"/>
      <c r="R30" s="919"/>
      <c r="S30" s="919"/>
    </row>
    <row r="31" spans="1:19" ht="12" customHeight="1" x14ac:dyDescent="0.3">
      <c r="A31" s="198">
        <v>1</v>
      </c>
      <c r="B31" s="193">
        <v>702</v>
      </c>
      <c r="C31" s="194">
        <v>10</v>
      </c>
      <c r="D31" s="464">
        <f>IF(COUNTIF($B$31:$C$39,""),"",B31/C31)</f>
        <v>70.2</v>
      </c>
      <c r="E31" s="1642">
        <f>IF(COUNTIF($B$31:$C$39,""),"",AVERAGE(D31:D33))</f>
        <v>77.209523809523816</v>
      </c>
      <c r="F31" s="46">
        <f>IF(COUNTIF($B$31:$C$39,""),"",+ABS(D31-E$31)/E$31)</f>
        <v>9.0785740717898147E-2</v>
      </c>
      <c r="G31" s="465" t="str">
        <f t="shared" ref="G31:G39" si="8">IF(COUNTIF($B$31:$C$39,""),"",IF($B$13="DR",IF(F31&lt;=0.06,"X",""),IF(F31&lt;=0.15,"X","")))</f>
        <v/>
      </c>
      <c r="H31" s="465" t="str">
        <f t="shared" ref="H31:H39" si="9">IF(COUNTIF($B$31:$C$39,""),"",IF($B$13="DR",IF(F31&gt;0.06,"X",""),IF(F31&gt;0.15,"X","")))</f>
        <v>X</v>
      </c>
      <c r="I31" s="173"/>
      <c r="J31" s="919"/>
      <c r="K31" s="919"/>
      <c r="L31" s="919"/>
      <c r="M31" s="919"/>
      <c r="N31" s="919"/>
      <c r="O31" s="919"/>
      <c r="P31" s="919"/>
      <c r="Q31" s="919"/>
      <c r="R31" s="919"/>
      <c r="S31" s="919"/>
    </row>
    <row r="32" spans="1:19" ht="12" customHeight="1" x14ac:dyDescent="0.3">
      <c r="A32" s="199">
        <v>2</v>
      </c>
      <c r="B32" s="193">
        <v>750</v>
      </c>
      <c r="C32" s="194">
        <v>10.5</v>
      </c>
      <c r="D32" s="464">
        <f t="shared" ref="D32:D39" si="10">IF(COUNTIF($B$31:$C$39,""),"",B32/C32)</f>
        <v>71.428571428571431</v>
      </c>
      <c r="E32" s="1643"/>
      <c r="F32" s="46">
        <f t="shared" ref="F32:F33" si="11">IF(COUNTIF($B$31:$C$39,""),"",+ABS(D32-E$31)/E$31)</f>
        <v>7.4873566054027438E-2</v>
      </c>
      <c r="G32" s="465" t="str">
        <f t="shared" si="8"/>
        <v/>
      </c>
      <c r="H32" s="465" t="str">
        <f t="shared" si="9"/>
        <v>X</v>
      </c>
      <c r="I32" s="173"/>
      <c r="J32" s="919"/>
      <c r="K32" s="919"/>
      <c r="L32" s="919"/>
      <c r="M32" s="919"/>
      <c r="N32" s="919"/>
      <c r="O32" s="919"/>
      <c r="P32" s="919"/>
      <c r="Q32" s="919"/>
      <c r="R32" s="919"/>
      <c r="S32" s="919"/>
    </row>
    <row r="33" spans="1:19" ht="12" customHeight="1" x14ac:dyDescent="0.3">
      <c r="A33" s="199">
        <v>3</v>
      </c>
      <c r="B33" s="193">
        <v>900</v>
      </c>
      <c r="C33" s="194">
        <v>10</v>
      </c>
      <c r="D33" s="464">
        <f t="shared" si="10"/>
        <v>90</v>
      </c>
      <c r="E33" s="1644"/>
      <c r="F33" s="46">
        <f t="shared" si="11"/>
        <v>0.16565930677192539</v>
      </c>
      <c r="G33" s="465" t="str">
        <f t="shared" si="8"/>
        <v/>
      </c>
      <c r="H33" s="465" t="str">
        <f t="shared" si="9"/>
        <v>X</v>
      </c>
      <c r="I33" s="173"/>
      <c r="J33" s="919"/>
      <c r="K33" s="919"/>
      <c r="L33" s="919"/>
      <c r="M33" s="919"/>
      <c r="N33" s="919"/>
      <c r="O33" s="919"/>
      <c r="P33" s="919"/>
      <c r="Q33" s="919"/>
      <c r="R33" s="919"/>
      <c r="S33" s="919"/>
    </row>
    <row r="34" spans="1:19" ht="12" customHeight="1" x14ac:dyDescent="0.3">
      <c r="A34" s="199">
        <v>4</v>
      </c>
      <c r="B34" s="195">
        <v>1300</v>
      </c>
      <c r="C34" s="194">
        <v>10.1</v>
      </c>
      <c r="D34" s="464">
        <f t="shared" si="10"/>
        <v>128.71287128712871</v>
      </c>
      <c r="E34" s="1642">
        <f>IF(COUNTIF($B$31:$C$39,""),"",AVERAGE(D34:D36))</f>
        <v>122.48004800480048</v>
      </c>
      <c r="F34" s="46">
        <f>IF(COUNTIF($B$31:$C$39,""),"",+ABS(D34-E$34)/E$34)</f>
        <v>5.088847844086359E-2</v>
      </c>
      <c r="G34" s="465" t="str">
        <f t="shared" si="8"/>
        <v>X</v>
      </c>
      <c r="H34" s="465" t="str">
        <f t="shared" si="9"/>
        <v/>
      </c>
      <c r="I34" s="173"/>
      <c r="J34" s="919"/>
      <c r="K34" s="919"/>
      <c r="L34" s="919"/>
      <c r="M34" s="919"/>
      <c r="N34" s="919"/>
      <c r="O34" s="919"/>
      <c r="P34" s="919"/>
      <c r="Q34" s="919"/>
      <c r="R34" s="919"/>
      <c r="S34" s="919"/>
    </row>
    <row r="35" spans="1:19" ht="12" customHeight="1" x14ac:dyDescent="0.3">
      <c r="A35" s="200">
        <v>5</v>
      </c>
      <c r="B35" s="196">
        <v>1325</v>
      </c>
      <c r="C35" s="194">
        <v>11</v>
      </c>
      <c r="D35" s="464">
        <f t="shared" si="10"/>
        <v>120.45454545454545</v>
      </c>
      <c r="E35" s="1643"/>
      <c r="F35" s="46">
        <f t="shared" ref="F35:F36" si="12">IF(COUNTIF($B$31:$C$39,""),"",+ABS(D35-E$34)/E$34)</f>
        <v>1.6537408200359614E-2</v>
      </c>
      <c r="G35" s="465" t="str">
        <f t="shared" si="8"/>
        <v>X</v>
      </c>
      <c r="H35" s="465" t="str">
        <f t="shared" si="9"/>
        <v/>
      </c>
      <c r="I35" s="173"/>
      <c r="J35" s="919"/>
      <c r="K35" s="919"/>
      <c r="L35" s="919"/>
      <c r="M35" s="919"/>
      <c r="N35" s="919"/>
      <c r="O35" s="919"/>
      <c r="P35" s="919"/>
      <c r="Q35" s="919"/>
      <c r="R35" s="919"/>
      <c r="S35" s="919"/>
    </row>
    <row r="36" spans="1:19" ht="12" customHeight="1" x14ac:dyDescent="0.3">
      <c r="A36" s="199">
        <v>6</v>
      </c>
      <c r="B36" s="196">
        <v>1301</v>
      </c>
      <c r="C36" s="194">
        <v>11</v>
      </c>
      <c r="D36" s="464">
        <f t="shared" si="10"/>
        <v>118.27272727272727</v>
      </c>
      <c r="E36" s="1644"/>
      <c r="F36" s="46">
        <f t="shared" si="12"/>
        <v>3.4351070240504086E-2</v>
      </c>
      <c r="G36" s="465" t="str">
        <f t="shared" si="8"/>
        <v>X</v>
      </c>
      <c r="H36" s="465" t="str">
        <f t="shared" si="9"/>
        <v/>
      </c>
      <c r="I36" s="173"/>
      <c r="J36" s="919"/>
      <c r="K36" s="919"/>
      <c r="L36" s="923"/>
      <c r="M36" s="919"/>
      <c r="N36" s="919"/>
      <c r="O36" s="919"/>
      <c r="P36" s="919"/>
      <c r="Q36" s="919"/>
      <c r="R36" s="919"/>
      <c r="S36" s="919"/>
    </row>
    <row r="37" spans="1:19" ht="12" customHeight="1" x14ac:dyDescent="0.3">
      <c r="A37" s="200">
        <v>7</v>
      </c>
      <c r="B37" s="196">
        <v>1300</v>
      </c>
      <c r="C37" s="194">
        <v>10</v>
      </c>
      <c r="D37" s="464">
        <f t="shared" si="10"/>
        <v>130</v>
      </c>
      <c r="E37" s="1642">
        <f>IF(COUNTIF($B$31:$C$39,""),"",AVERAGE(D37:D39))</f>
        <v>127.93650793650794</v>
      </c>
      <c r="F37" s="46">
        <f>IF(COUNTIF($B$31:$C$39,""),"",+ABS(D37-E$37)/E$37)</f>
        <v>1.6129032258064516E-2</v>
      </c>
      <c r="G37" s="465" t="str">
        <f t="shared" si="8"/>
        <v>X</v>
      </c>
      <c r="H37" s="465" t="str">
        <f t="shared" si="9"/>
        <v/>
      </c>
      <c r="I37" s="173"/>
      <c r="J37" s="919"/>
      <c r="K37" s="919"/>
      <c r="L37" s="923"/>
      <c r="M37" s="919"/>
      <c r="N37" s="919"/>
      <c r="O37" s="919"/>
      <c r="P37" s="919"/>
      <c r="Q37" s="919"/>
      <c r="R37" s="919"/>
      <c r="S37" s="919"/>
    </row>
    <row r="38" spans="1:19" ht="12" customHeight="1" x14ac:dyDescent="0.3">
      <c r="A38" s="201">
        <v>8</v>
      </c>
      <c r="B38" s="196">
        <v>1300</v>
      </c>
      <c r="C38" s="194">
        <v>10</v>
      </c>
      <c r="D38" s="464">
        <f t="shared" si="10"/>
        <v>130</v>
      </c>
      <c r="E38" s="1643"/>
      <c r="F38" s="46">
        <f t="shared" ref="F38:F39" si="13">IF(COUNTIF($B$31:$C$39,""),"",+ABS(D38-E$37)/E$37)</f>
        <v>1.6129032258064516E-2</v>
      </c>
      <c r="G38" s="465" t="str">
        <f t="shared" si="8"/>
        <v>X</v>
      </c>
      <c r="H38" s="465" t="str">
        <f t="shared" si="9"/>
        <v/>
      </c>
      <c r="I38" s="128"/>
      <c r="J38" s="919"/>
      <c r="K38" s="919"/>
      <c r="L38" s="923"/>
      <c r="M38" s="919"/>
      <c r="N38" s="919"/>
      <c r="O38" s="919"/>
      <c r="P38" s="919"/>
      <c r="Q38" s="919"/>
      <c r="R38" s="919"/>
      <c r="S38" s="919"/>
    </row>
    <row r="39" spans="1:19" ht="12" customHeight="1" x14ac:dyDescent="0.3">
      <c r="A39" s="180">
        <v>9</v>
      </c>
      <c r="B39" s="196">
        <v>1300</v>
      </c>
      <c r="C39" s="194">
        <v>10.5</v>
      </c>
      <c r="D39" s="464">
        <f t="shared" si="10"/>
        <v>123.80952380952381</v>
      </c>
      <c r="E39" s="1644"/>
      <c r="F39" s="46">
        <f t="shared" si="13"/>
        <v>3.2258064516129031E-2</v>
      </c>
      <c r="G39" s="465" t="str">
        <f t="shared" si="8"/>
        <v>X</v>
      </c>
      <c r="H39" s="465" t="str">
        <f t="shared" si="9"/>
        <v/>
      </c>
      <c r="I39" s="128"/>
      <c r="J39" s="919"/>
      <c r="K39" s="919"/>
      <c r="L39" s="923"/>
      <c r="M39" s="919"/>
      <c r="N39" s="919"/>
      <c r="O39" s="919"/>
      <c r="P39" s="919"/>
      <c r="Q39" s="919"/>
      <c r="R39" s="919"/>
      <c r="S39" s="919"/>
    </row>
    <row r="40" spans="1:19" ht="12.75" customHeight="1" x14ac:dyDescent="0.3">
      <c r="A40" s="466" t="s">
        <v>154</v>
      </c>
      <c r="B40" s="467">
        <f>IF(B35="","",AVERAGE(B35:B39))</f>
        <v>1305.2</v>
      </c>
      <c r="C40" s="468"/>
      <c r="D40" s="469">
        <f>IF(D35="","",AVERAGE(D35:D39))</f>
        <v>124.50735930735932</v>
      </c>
      <c r="E40" s="470" t="str">
        <f>IF(E35="","",AVERAGE(E35:E39))</f>
        <v/>
      </c>
      <c r="F40" s="471"/>
      <c r="G40" s="472"/>
      <c r="H40" s="473"/>
      <c r="I40" s="128"/>
      <c r="J40" s="919"/>
      <c r="K40" s="919"/>
      <c r="L40" s="923"/>
      <c r="M40" s="919"/>
      <c r="N40" s="919"/>
      <c r="O40" s="919"/>
      <c r="P40" s="919"/>
      <c r="Q40" s="919"/>
      <c r="R40" s="919"/>
      <c r="S40" s="919"/>
    </row>
    <row r="41" spans="1:19" ht="12.75" customHeight="1" x14ac:dyDescent="0.3">
      <c r="A41" s="474" t="s">
        <v>807</v>
      </c>
      <c r="B41" s="475"/>
      <c r="C41" s="475"/>
      <c r="D41" s="475"/>
      <c r="E41" s="475"/>
      <c r="F41" s="475"/>
      <c r="G41" s="475"/>
      <c r="H41" s="475"/>
      <c r="I41" s="128"/>
      <c r="J41" s="919"/>
      <c r="K41" s="920" t="s">
        <v>1075</v>
      </c>
      <c r="L41" s="924"/>
      <c r="M41" s="920"/>
      <c r="N41" s="920"/>
      <c r="O41" s="920"/>
      <c r="P41" s="920"/>
      <c r="Q41" s="920"/>
      <c r="R41" s="920"/>
      <c r="S41" s="919"/>
    </row>
    <row r="42" spans="1:19" ht="12" customHeight="1" x14ac:dyDescent="0.3">
      <c r="A42" s="474" t="s">
        <v>1092</v>
      </c>
      <c r="B42" s="176"/>
      <c r="C42" s="476"/>
      <c r="D42" s="477"/>
      <c r="E42" s="478"/>
      <c r="F42" s="176"/>
      <c r="G42" s="176"/>
      <c r="H42" s="176"/>
      <c r="I42" s="128"/>
      <c r="J42" s="919"/>
      <c r="K42" s="920" t="s">
        <v>903</v>
      </c>
      <c r="L42" s="924"/>
      <c r="M42" s="920"/>
      <c r="N42" s="920"/>
      <c r="O42" s="920"/>
      <c r="P42" s="920"/>
      <c r="Q42" s="920"/>
      <c r="R42" s="920"/>
      <c r="S42" s="919"/>
    </row>
    <row r="43" spans="1:19" ht="14.1" customHeight="1" x14ac:dyDescent="0.3">
      <c r="A43" s="177" t="s">
        <v>808</v>
      </c>
      <c r="D43" s="176"/>
      <c r="E43" s="176"/>
      <c r="F43" s="176"/>
      <c r="G43" s="176"/>
      <c r="H43" s="176"/>
      <c r="I43" s="128"/>
      <c r="J43" s="919"/>
      <c r="K43" s="919"/>
      <c r="L43" s="919"/>
      <c r="M43" s="919"/>
      <c r="N43" s="919"/>
      <c r="O43" s="919"/>
      <c r="P43" s="919"/>
      <c r="Q43" s="919"/>
      <c r="R43" s="919"/>
      <c r="S43" s="919"/>
    </row>
    <row r="44" spans="1:19" ht="15" customHeight="1" x14ac:dyDescent="0.3">
      <c r="A44" s="179" t="s">
        <v>793</v>
      </c>
      <c r="B44" s="1645">
        <v>45</v>
      </c>
      <c r="C44" s="1645"/>
      <c r="E44" s="179" t="s">
        <v>795</v>
      </c>
      <c r="F44" s="1639" t="s">
        <v>436</v>
      </c>
      <c r="G44" s="1639"/>
      <c r="H44" s="176"/>
      <c r="I44" s="128"/>
      <c r="J44" s="919"/>
      <c r="K44" s="919"/>
      <c r="L44" s="919"/>
      <c r="M44" s="919"/>
      <c r="N44" s="919"/>
      <c r="O44" s="919"/>
      <c r="P44" s="919"/>
      <c r="Q44" s="919"/>
      <c r="R44" s="919"/>
      <c r="S44" s="919"/>
    </row>
    <row r="45" spans="1:19" ht="14.4" x14ac:dyDescent="0.3">
      <c r="A45" s="179" t="s">
        <v>794</v>
      </c>
      <c r="B45" s="1638">
        <v>30</v>
      </c>
      <c r="C45" s="1638"/>
      <c r="E45" s="179" t="s">
        <v>796</v>
      </c>
      <c r="F45" s="1639">
        <v>0</v>
      </c>
      <c r="G45" s="1639"/>
      <c r="H45" s="176"/>
      <c r="I45" s="128"/>
      <c r="J45" s="919"/>
      <c r="K45" s="919"/>
      <c r="L45" s="919"/>
      <c r="M45" s="919"/>
      <c r="N45" s="919"/>
      <c r="O45" s="919"/>
      <c r="P45" s="919"/>
      <c r="Q45" s="919"/>
      <c r="R45" s="919"/>
      <c r="S45" s="919"/>
    </row>
    <row r="46" spans="1:19" x14ac:dyDescent="0.25">
      <c r="A46" s="179" t="s">
        <v>804</v>
      </c>
      <c r="B46" s="1649" t="s">
        <v>66</v>
      </c>
      <c r="C46" s="1649"/>
      <c r="E46" s="179" t="s">
        <v>797</v>
      </c>
      <c r="F46" s="1639" t="s">
        <v>503</v>
      </c>
      <c r="G46" s="1639"/>
      <c r="H46" s="176"/>
      <c r="I46" s="173"/>
    </row>
    <row r="47" spans="1:19" x14ac:dyDescent="0.25">
      <c r="A47" s="179" t="s">
        <v>1108</v>
      </c>
      <c r="B47" s="606" t="str">
        <f>Éqpmt!$B$6</f>
        <v>DR</v>
      </c>
      <c r="C47" s="191" t="s">
        <v>142</v>
      </c>
      <c r="D47" s="176"/>
      <c r="E47" s="179"/>
      <c r="F47" s="176"/>
      <c r="G47" s="176"/>
      <c r="H47" s="176"/>
      <c r="I47" s="479"/>
    </row>
    <row r="48" spans="1:19" x14ac:dyDescent="0.25">
      <c r="A48" s="563" t="s">
        <v>423</v>
      </c>
      <c r="B48" s="192" t="s">
        <v>305</v>
      </c>
      <c r="C48" s="562" t="s">
        <v>585</v>
      </c>
      <c r="D48" s="192">
        <v>79</v>
      </c>
      <c r="E48" s="176"/>
      <c r="F48" s="176"/>
      <c r="G48" s="176"/>
      <c r="H48" s="176"/>
      <c r="I48" s="479"/>
    </row>
    <row r="49" spans="1:18" s="483" customFormat="1" ht="12" x14ac:dyDescent="0.2">
      <c r="A49" s="480" t="s">
        <v>144</v>
      </c>
      <c r="B49" s="1650" t="s">
        <v>398</v>
      </c>
      <c r="C49" s="549" t="s">
        <v>161</v>
      </c>
      <c r="D49" s="548" t="s">
        <v>145</v>
      </c>
      <c r="E49" s="481" t="s">
        <v>146</v>
      </c>
      <c r="F49" s="481" t="s">
        <v>155</v>
      </c>
      <c r="G49" s="1518" t="s">
        <v>15</v>
      </c>
      <c r="H49" s="1518"/>
      <c r="I49" s="482"/>
    </row>
    <row r="50" spans="1:18" s="483" customFormat="1" ht="14.4" x14ac:dyDescent="0.3">
      <c r="A50" s="484" t="s">
        <v>149</v>
      </c>
      <c r="B50" s="1651"/>
      <c r="C50" s="485" t="s">
        <v>150</v>
      </c>
      <c r="D50" s="462" t="s">
        <v>156</v>
      </c>
      <c r="E50" s="550" t="s">
        <v>157</v>
      </c>
      <c r="F50" s="550" t="s">
        <v>158</v>
      </c>
      <c r="G50" s="534" t="s">
        <v>16</v>
      </c>
      <c r="H50" s="534" t="s">
        <v>17</v>
      </c>
      <c r="I50" s="482"/>
      <c r="J50" s="919"/>
      <c r="K50" s="919"/>
      <c r="L50" s="919"/>
      <c r="M50" s="919"/>
      <c r="N50" s="919"/>
      <c r="O50" s="919"/>
      <c r="P50" s="919"/>
      <c r="Q50" s="919"/>
      <c r="R50" s="919"/>
    </row>
    <row r="51" spans="1:18" ht="13.2" customHeight="1" x14ac:dyDescent="0.3">
      <c r="A51" s="486" t="s">
        <v>399</v>
      </c>
      <c r="B51" s="505" t="str">
        <f>Info!F37</f>
        <v>20-07-2019</v>
      </c>
      <c r="C51" s="187">
        <v>1310</v>
      </c>
      <c r="D51" s="188">
        <v>11</v>
      </c>
      <c r="E51" s="860">
        <f>IF(COUNTIF(C51:D51,""),"",C51/D51)</f>
        <v>119.09090909090909</v>
      </c>
      <c r="F51" s="487"/>
      <c r="G51" s="1646"/>
      <c r="H51" s="1647"/>
      <c r="I51" s="482"/>
      <c r="J51" s="919"/>
      <c r="K51" s="920" t="s">
        <v>548</v>
      </c>
      <c r="L51" s="920"/>
      <c r="M51" s="920"/>
      <c r="N51" s="920"/>
      <c r="O51" s="920"/>
      <c r="P51" s="920"/>
      <c r="Q51" s="920"/>
      <c r="R51" s="919"/>
    </row>
    <row r="52" spans="1:18" ht="13.2" customHeight="1" x14ac:dyDescent="0.3">
      <c r="A52" s="486" t="s">
        <v>399</v>
      </c>
      <c r="B52" s="505" t="str">
        <f>Info!C37</f>
        <v>20-01-2020</v>
      </c>
      <c r="C52" s="189">
        <v>1200</v>
      </c>
      <c r="D52" s="190">
        <v>11</v>
      </c>
      <c r="E52" s="488">
        <f>IF(COUNTIF(C52:D52,""),"",+C52/D52)</f>
        <v>109.09090909090909</v>
      </c>
      <c r="F52" s="874">
        <f>IF(COUNTIF(C51:D52,""),"",+ABS((E52-E51)/E51))</f>
        <v>8.3969465648854963E-2</v>
      </c>
      <c r="G52" s="489" t="str">
        <f>IF(COUNTIF(C51:D52,""),"",IF(F52&lt;=30%,"X",""))</f>
        <v>X</v>
      </c>
      <c r="H52" s="489" t="str">
        <f>IF(COUNTIF(C51:D52,""),"",IF(F52&gt;30%,"X",""))</f>
        <v/>
      </c>
      <c r="I52" s="482"/>
      <c r="J52" s="919"/>
      <c r="K52" s="920" t="s">
        <v>549</v>
      </c>
      <c r="L52" s="920"/>
      <c r="M52" s="920"/>
      <c r="N52" s="920"/>
      <c r="O52" s="920"/>
      <c r="P52" s="920"/>
      <c r="Q52" s="920"/>
      <c r="R52" s="919"/>
    </row>
    <row r="53" spans="1:18" ht="13.2" customHeight="1" x14ac:dyDescent="0.3">
      <c r="A53" s="486" t="s">
        <v>399</v>
      </c>
      <c r="B53" s="186" t="s">
        <v>400</v>
      </c>
      <c r="C53" s="183"/>
      <c r="D53" s="184"/>
      <c r="E53" s="608"/>
      <c r="F53" s="875"/>
      <c r="G53" s="609"/>
      <c r="H53" s="609"/>
      <c r="I53" s="482"/>
      <c r="J53" s="919"/>
      <c r="K53" s="920" t="s">
        <v>550</v>
      </c>
      <c r="L53" s="920"/>
      <c r="M53" s="920"/>
      <c r="N53" s="920"/>
      <c r="O53" s="920"/>
      <c r="P53" s="920"/>
      <c r="Q53" s="920"/>
      <c r="R53" s="919"/>
    </row>
    <row r="54" spans="1:18" ht="13.2" customHeight="1" x14ac:dyDescent="0.3">
      <c r="A54" s="486" t="s">
        <v>399</v>
      </c>
      <c r="B54" s="186" t="s">
        <v>400</v>
      </c>
      <c r="C54" s="183"/>
      <c r="D54" s="184"/>
      <c r="E54" s="184"/>
      <c r="F54" s="876"/>
      <c r="G54" s="185"/>
      <c r="H54" s="185"/>
      <c r="I54" s="482"/>
      <c r="J54" s="919"/>
      <c r="K54" s="920" t="s">
        <v>551</v>
      </c>
      <c r="L54" s="920"/>
      <c r="M54" s="920"/>
      <c r="N54" s="920"/>
      <c r="O54" s="920"/>
      <c r="P54" s="920"/>
      <c r="Q54" s="920"/>
      <c r="R54" s="919"/>
    </row>
    <row r="55" spans="1:18" ht="11.1" customHeight="1" x14ac:dyDescent="0.3">
      <c r="A55" s="490"/>
      <c r="B55" s="182"/>
      <c r="C55" s="491"/>
      <c r="D55" s="492"/>
      <c r="E55" s="492"/>
      <c r="F55" s="492"/>
      <c r="G55" s="492"/>
      <c r="H55" s="492"/>
      <c r="I55" s="173"/>
      <c r="J55" s="919"/>
      <c r="K55" s="919"/>
      <c r="L55" s="919"/>
      <c r="M55" s="919"/>
      <c r="N55" s="919"/>
      <c r="O55" s="919"/>
      <c r="P55" s="919"/>
      <c r="Q55" s="919"/>
      <c r="R55" s="919"/>
    </row>
    <row r="56" spans="1:18" ht="14.1" customHeight="1" x14ac:dyDescent="0.3">
      <c r="A56" s="179" t="s">
        <v>1108</v>
      </c>
      <c r="B56" s="606" t="str">
        <f>Éqpmt!$B$6</f>
        <v>DR</v>
      </c>
      <c r="C56" s="191" t="s">
        <v>143</v>
      </c>
      <c r="D56" s="176"/>
      <c r="E56" s="176"/>
      <c r="F56" s="176"/>
      <c r="G56" s="176"/>
      <c r="H56" s="176"/>
      <c r="I56" s="173"/>
      <c r="J56" s="919"/>
      <c r="K56" s="919"/>
      <c r="L56" s="919"/>
      <c r="M56" s="919"/>
      <c r="N56" s="919"/>
      <c r="O56" s="919"/>
      <c r="P56" s="919"/>
      <c r="Q56" s="919"/>
      <c r="R56" s="919"/>
    </row>
    <row r="57" spans="1:18" ht="14.1" customHeight="1" x14ac:dyDescent="0.3">
      <c r="A57" s="563" t="s">
        <v>805</v>
      </c>
      <c r="B57" s="192" t="s">
        <v>305</v>
      </c>
      <c r="C57" s="610" t="s">
        <v>585</v>
      </c>
      <c r="D57" s="192">
        <v>80</v>
      </c>
      <c r="E57" s="176"/>
      <c r="F57" s="176"/>
      <c r="G57" s="176"/>
      <c r="H57" s="176"/>
      <c r="I57" s="173"/>
      <c r="J57" s="919"/>
      <c r="K57" s="919"/>
      <c r="L57" s="919"/>
      <c r="M57" s="919"/>
      <c r="N57" s="919"/>
      <c r="O57" s="919"/>
      <c r="P57" s="919"/>
      <c r="Q57" s="919"/>
      <c r="R57" s="919"/>
    </row>
    <row r="58" spans="1:18" ht="14.4" x14ac:dyDescent="0.3">
      <c r="A58" s="480" t="s">
        <v>144</v>
      </c>
      <c r="B58" s="1650" t="s">
        <v>398</v>
      </c>
      <c r="C58" s="549" t="s">
        <v>161</v>
      </c>
      <c r="D58" s="548" t="s">
        <v>145</v>
      </c>
      <c r="E58" s="481" t="s">
        <v>146</v>
      </c>
      <c r="F58" s="481" t="s">
        <v>155</v>
      </c>
      <c r="G58" s="1518" t="s">
        <v>15</v>
      </c>
      <c r="H58" s="1518"/>
      <c r="I58" s="128"/>
      <c r="J58" s="919"/>
      <c r="K58" s="919"/>
      <c r="L58" s="919"/>
      <c r="M58" s="919"/>
      <c r="N58" s="919"/>
      <c r="O58" s="919"/>
      <c r="P58" s="919"/>
      <c r="Q58" s="919"/>
      <c r="R58" s="919"/>
    </row>
    <row r="59" spans="1:18" ht="14.1" customHeight="1" x14ac:dyDescent="0.3">
      <c r="A59" s="484" t="s">
        <v>149</v>
      </c>
      <c r="B59" s="1651"/>
      <c r="C59" s="485" t="s">
        <v>150</v>
      </c>
      <c r="D59" s="462" t="s">
        <v>156</v>
      </c>
      <c r="E59" s="550" t="s">
        <v>157</v>
      </c>
      <c r="F59" s="550" t="s">
        <v>158</v>
      </c>
      <c r="G59" s="534" t="s">
        <v>16</v>
      </c>
      <c r="H59" s="534" t="s">
        <v>17</v>
      </c>
      <c r="I59" s="173"/>
      <c r="J59" s="919"/>
      <c r="K59" s="919"/>
      <c r="L59" s="919"/>
      <c r="M59" s="919"/>
      <c r="N59" s="919"/>
      <c r="O59" s="919"/>
      <c r="P59" s="919"/>
      <c r="Q59" s="919"/>
      <c r="R59" s="919"/>
    </row>
    <row r="60" spans="1:18" ht="13.2" customHeight="1" x14ac:dyDescent="0.3">
      <c r="A60" s="611" t="s">
        <v>399</v>
      </c>
      <c r="B60" s="505" t="str">
        <f>Info!F37</f>
        <v>20-07-2019</v>
      </c>
      <c r="C60" s="187">
        <v>1400</v>
      </c>
      <c r="D60" s="188">
        <v>10</v>
      </c>
      <c r="E60" s="860">
        <f>IF(COUNTIF(C60:D60,""),"",+C60/D60)</f>
        <v>140</v>
      </c>
      <c r="F60" s="487"/>
      <c r="G60" s="1646"/>
      <c r="H60" s="1647"/>
      <c r="I60" s="173"/>
      <c r="J60" s="919"/>
      <c r="K60" s="919"/>
      <c r="L60" s="919"/>
      <c r="M60" s="919"/>
      <c r="N60" s="919"/>
      <c r="O60" s="919"/>
      <c r="P60" s="919"/>
      <c r="Q60" s="919"/>
      <c r="R60" s="919"/>
    </row>
    <row r="61" spans="1:18" ht="13.2" customHeight="1" x14ac:dyDescent="0.3">
      <c r="A61" s="486" t="s">
        <v>399</v>
      </c>
      <c r="B61" s="505" t="str">
        <f>Info!C37</f>
        <v>20-01-2020</v>
      </c>
      <c r="C61" s="189">
        <v>1300</v>
      </c>
      <c r="D61" s="190">
        <v>10</v>
      </c>
      <c r="E61" s="464">
        <f>IF(COUNTIF(C61:D61,""),"",+C61/D61)</f>
        <v>130</v>
      </c>
      <c r="F61" s="874">
        <f>IF(COUNTIF(C60:D61,""),"",+ABS((E61-E60)/E60))</f>
        <v>7.1428571428571425E-2</v>
      </c>
      <c r="G61" s="489" t="str">
        <f>IF(COUNTIF(C60:D61,""),"",IF(F61&lt;=30%,"X",""))</f>
        <v>X</v>
      </c>
      <c r="H61" s="489" t="str">
        <f>IF(COUNTIF(C60:D61,""),"",IF(F61&gt;30%,"X",""))</f>
        <v/>
      </c>
      <c r="I61" s="173"/>
      <c r="J61" s="919"/>
      <c r="K61" s="920" t="s">
        <v>552</v>
      </c>
      <c r="L61" s="930"/>
      <c r="M61" s="930"/>
      <c r="N61" s="930"/>
      <c r="O61" s="930"/>
      <c r="P61" s="919"/>
      <c r="Q61" s="919"/>
      <c r="R61" s="919"/>
    </row>
    <row r="62" spans="1:18" ht="13.2" customHeight="1" x14ac:dyDescent="0.3">
      <c r="A62" s="486" t="s">
        <v>399</v>
      </c>
      <c r="B62" s="186" t="s">
        <v>400</v>
      </c>
      <c r="C62" s="183"/>
      <c r="D62" s="184"/>
      <c r="E62" s="608"/>
      <c r="F62" s="875"/>
      <c r="G62" s="609"/>
      <c r="H62" s="609"/>
      <c r="I62" s="173"/>
      <c r="J62" s="919"/>
      <c r="K62" s="919"/>
      <c r="L62" s="931"/>
      <c r="M62" s="931"/>
      <c r="N62" s="931"/>
      <c r="O62" s="931"/>
      <c r="P62" s="919"/>
      <c r="Q62" s="919"/>
      <c r="R62" s="919"/>
    </row>
    <row r="63" spans="1:18" ht="13.2" customHeight="1" x14ac:dyDescent="0.3">
      <c r="A63" s="486" t="s">
        <v>399</v>
      </c>
      <c r="B63" s="186" t="s">
        <v>400</v>
      </c>
      <c r="C63" s="183"/>
      <c r="D63" s="184"/>
      <c r="E63" s="184"/>
      <c r="F63" s="876"/>
      <c r="G63" s="185"/>
      <c r="H63" s="185"/>
      <c r="I63" s="173"/>
      <c r="J63" s="919"/>
      <c r="K63" s="919"/>
      <c r="L63" s="919"/>
      <c r="M63" s="919"/>
      <c r="N63" s="919"/>
      <c r="O63" s="919"/>
      <c r="P63" s="919"/>
      <c r="Q63" s="919"/>
      <c r="R63" s="919"/>
    </row>
    <row r="64" spans="1:18" ht="14.4" x14ac:dyDescent="0.3">
      <c r="A64" s="474" t="s">
        <v>800</v>
      </c>
      <c r="B64" s="182"/>
      <c r="C64" s="491"/>
      <c r="D64" s="493"/>
      <c r="E64" s="493"/>
      <c r="F64" s="493"/>
      <c r="G64" s="493"/>
      <c r="H64" s="493"/>
      <c r="I64" s="173"/>
      <c r="J64" s="919"/>
      <c r="K64" s="919"/>
      <c r="L64" s="920" t="s">
        <v>904</v>
      </c>
      <c r="M64" s="920"/>
      <c r="N64" s="920"/>
      <c r="O64" s="920"/>
      <c r="P64" s="920"/>
      <c r="Q64" s="919"/>
      <c r="R64" s="919"/>
    </row>
    <row r="65" spans="1:18" ht="14.4" x14ac:dyDescent="0.3">
      <c r="A65" s="474" t="s">
        <v>890</v>
      </c>
      <c r="B65" s="182"/>
      <c r="C65" s="491"/>
      <c r="D65" s="493"/>
      <c r="E65" s="493"/>
      <c r="F65" s="493"/>
      <c r="G65" s="493"/>
      <c r="H65" s="493"/>
      <c r="I65" s="173"/>
      <c r="J65" s="919"/>
      <c r="K65" s="919"/>
      <c r="L65" s="920" t="s">
        <v>527</v>
      </c>
      <c r="M65" s="920"/>
      <c r="N65" s="920"/>
      <c r="O65" s="920"/>
      <c r="P65" s="920"/>
      <c r="Q65" s="919"/>
      <c r="R65" s="919"/>
    </row>
    <row r="66" spans="1:18" ht="14.4" x14ac:dyDescent="0.3">
      <c r="A66" s="603" t="s">
        <v>778</v>
      </c>
      <c r="B66" s="603"/>
      <c r="C66" s="908"/>
      <c r="D66" s="1648"/>
      <c r="E66" s="1648"/>
      <c r="F66" s="1648"/>
      <c r="G66" s="1648"/>
      <c r="H66" s="1648"/>
      <c r="I66" s="173"/>
      <c r="J66" s="919"/>
      <c r="K66" s="919"/>
      <c r="L66" s="920" t="s">
        <v>528</v>
      </c>
      <c r="M66" s="920"/>
      <c r="N66" s="920"/>
      <c r="O66" s="920"/>
      <c r="P66" s="920"/>
      <c r="Q66" s="919"/>
      <c r="R66" s="919"/>
    </row>
    <row r="67" spans="1:18" ht="14.4" x14ac:dyDescent="0.3">
      <c r="A67" s="1535"/>
      <c r="B67" s="1535"/>
      <c r="C67" s="1535"/>
      <c r="D67" s="1535"/>
      <c r="E67" s="1535"/>
      <c r="F67" s="1535"/>
      <c r="G67" s="1535"/>
      <c r="H67" s="1535"/>
      <c r="I67" s="1063" t="s">
        <v>500</v>
      </c>
      <c r="J67" s="919"/>
      <c r="K67" s="919"/>
      <c r="L67" s="920" t="s">
        <v>955</v>
      </c>
      <c r="M67" s="920"/>
      <c r="N67" s="920"/>
      <c r="O67" s="920"/>
      <c r="P67" s="920"/>
      <c r="Q67" s="919"/>
      <c r="R67" s="919"/>
    </row>
    <row r="68" spans="1:18" ht="14.4" x14ac:dyDescent="0.3">
      <c r="A68" s="1563"/>
      <c r="B68" s="1563"/>
      <c r="C68" s="1563"/>
      <c r="D68" s="1563"/>
      <c r="E68" s="1563"/>
      <c r="F68" s="1563"/>
      <c r="G68" s="1563"/>
      <c r="H68" s="1563"/>
      <c r="I68" s="5">
        <f>COUNTIF(H52:H54,"X")+COUNTIF(H31:H39,"X")+COUNTIF(H61:H63,"X")+COUNTIF(H17:H25,"X")</f>
        <v>11</v>
      </c>
      <c r="J68" s="919"/>
      <c r="K68" s="919"/>
      <c r="L68" s="919"/>
      <c r="M68" s="919"/>
      <c r="N68" s="919"/>
      <c r="O68" s="919"/>
      <c r="P68" s="919"/>
      <c r="Q68" s="919"/>
      <c r="R68" s="919"/>
    </row>
    <row r="69" spans="1:18" ht="13.8" x14ac:dyDescent="0.3">
      <c r="I69" s="5">
        <f>SUM(I73:I328)</f>
        <v>66</v>
      </c>
      <c r="J69" s="916"/>
      <c r="K69" s="916"/>
      <c r="L69" s="916"/>
      <c r="M69" s="916"/>
      <c r="N69" s="916"/>
      <c r="O69" s="916"/>
      <c r="P69" s="916"/>
      <c r="Q69" s="916"/>
      <c r="R69" s="916"/>
    </row>
    <row r="70" spans="1:18" ht="15" customHeight="1" x14ac:dyDescent="0.3">
      <c r="A70" s="563" t="s">
        <v>805</v>
      </c>
      <c r="B70" s="192" t="s">
        <v>438</v>
      </c>
      <c r="C70" s="563" t="s">
        <v>585</v>
      </c>
      <c r="D70" s="192">
        <v>77</v>
      </c>
      <c r="E70" s="197" t="s">
        <v>142</v>
      </c>
      <c r="F70" s="176"/>
      <c r="G70" s="176"/>
      <c r="H70" s="176"/>
      <c r="I70" s="173"/>
      <c r="J70" s="916"/>
      <c r="K70" s="1652" t="s">
        <v>423</v>
      </c>
      <c r="L70" s="1653"/>
      <c r="M70" s="926" t="s">
        <v>142</v>
      </c>
      <c r="N70" s="926" t="s">
        <v>161</v>
      </c>
      <c r="O70" s="926" t="s">
        <v>450</v>
      </c>
      <c r="P70" s="926"/>
      <c r="Q70" s="926" t="s">
        <v>196</v>
      </c>
      <c r="R70" s="916"/>
    </row>
    <row r="71" spans="1:18" ht="13.8" x14ac:dyDescent="0.3">
      <c r="A71" s="549" t="s">
        <v>144</v>
      </c>
      <c r="B71" s="457" t="s">
        <v>161</v>
      </c>
      <c r="C71" s="457" t="s">
        <v>145</v>
      </c>
      <c r="D71" s="548" t="s">
        <v>146</v>
      </c>
      <c r="E71" s="1640" t="s">
        <v>147</v>
      </c>
      <c r="F71" s="458" t="s">
        <v>148</v>
      </c>
      <c r="G71" s="1518" t="s">
        <v>15</v>
      </c>
      <c r="H71" s="1518"/>
      <c r="I71" s="172"/>
      <c r="J71" s="916"/>
      <c r="K71" s="925"/>
      <c r="L71" s="927" t="str">
        <f>B14</f>
        <v>cass#1</v>
      </c>
      <c r="M71" s="928" t="str">
        <f>C13</f>
        <v>18x24</v>
      </c>
      <c r="N71" s="927">
        <f>B21</f>
        <v>1400</v>
      </c>
      <c r="O71" s="927">
        <f>C21</f>
        <v>15</v>
      </c>
      <c r="P71" s="927"/>
      <c r="Q71" s="927">
        <f>D14</f>
        <v>75</v>
      </c>
      <c r="R71" s="916"/>
    </row>
    <row r="72" spans="1:18" ht="13.8" x14ac:dyDescent="0.3">
      <c r="A72" s="459" t="s">
        <v>149</v>
      </c>
      <c r="B72" s="460" t="s">
        <v>150</v>
      </c>
      <c r="C72" s="461" t="s">
        <v>156</v>
      </c>
      <c r="D72" s="462" t="s">
        <v>157</v>
      </c>
      <c r="E72" s="1641"/>
      <c r="F72" s="463" t="s">
        <v>152</v>
      </c>
      <c r="G72" s="534" t="s">
        <v>16</v>
      </c>
      <c r="H72" s="534" t="s">
        <v>17</v>
      </c>
      <c r="J72" s="916"/>
      <c r="K72" s="925"/>
      <c r="L72" s="927">
        <f>B28</f>
        <v>0</v>
      </c>
      <c r="M72" s="928" t="str">
        <f>C27</f>
        <v>24x30</v>
      </c>
      <c r="N72" s="927">
        <f>B35</f>
        <v>1325</v>
      </c>
      <c r="O72" s="927">
        <f>C35</f>
        <v>11</v>
      </c>
      <c r="P72" s="927"/>
      <c r="Q72" s="927">
        <f>D28</f>
        <v>65</v>
      </c>
      <c r="R72" s="916"/>
    </row>
    <row r="73" spans="1:18" ht="13.8" x14ac:dyDescent="0.3">
      <c r="A73" s="198">
        <v>1</v>
      </c>
      <c r="B73" s="193">
        <v>703</v>
      </c>
      <c r="C73" s="188">
        <v>11</v>
      </c>
      <c r="D73" s="464">
        <f>IF(COUNTIF(B73:C81,""),"",B73/C73)</f>
        <v>63.909090909090907</v>
      </c>
      <c r="E73" s="1642">
        <f>IF(COUNTIF(B73:C81,""),"",AVERAGE(D73:D75))</f>
        <v>75.090909090909079</v>
      </c>
      <c r="F73" s="46">
        <f>IF(COUNTIF(B73:C81,""),"",+ABS(D73-E73)/E73)</f>
        <v>0.14891041162227595</v>
      </c>
      <c r="G73" s="465" t="str">
        <f>IF(COUNTIF(B73:C81,""),"",IF($B$13="DR",IF(F73&lt;=0.06,"X",""),IF(F73&lt;=0.15,"X","")))</f>
        <v/>
      </c>
      <c r="H73" s="465" t="str">
        <f>IF(COUNTIF(B73:C81,""),"",IF($B$13="DR",IF(F73&gt;0.06,"X",""),IF(F73&gt;0.15,"X","")))</f>
        <v>X</v>
      </c>
      <c r="I73" s="5">
        <f t="shared" ref="I73:I81" si="14">COUNTIF(H73,"X")</f>
        <v>1</v>
      </c>
      <c r="J73" s="916"/>
      <c r="K73" s="916"/>
      <c r="L73" s="916"/>
      <c r="M73" s="929"/>
      <c r="N73" s="916"/>
      <c r="O73" s="916"/>
      <c r="P73" s="916"/>
      <c r="Q73" s="916"/>
      <c r="R73" s="916"/>
    </row>
    <row r="74" spans="1:18" ht="13.8" x14ac:dyDescent="0.3">
      <c r="A74" s="199">
        <v>2</v>
      </c>
      <c r="B74" s="193">
        <v>750</v>
      </c>
      <c r="C74" s="188">
        <v>10</v>
      </c>
      <c r="D74" s="464">
        <f>IF(COUNTIF(B73:C81,""),"",B74/C74)</f>
        <v>75</v>
      </c>
      <c r="E74" s="1643"/>
      <c r="F74" s="46">
        <f>IF(COUNTIF(B73:C81,""),"",+ABS(D74-E73)/E73)</f>
        <v>1.2106537530264798E-3</v>
      </c>
      <c r="G74" s="465" t="str">
        <f>IF(COUNTIF(B73:C81,""),"",IF($B$13="DR",IF(F74&lt;=0.06,"X",""),IF(F74&lt;=0.15,"X","")))</f>
        <v>X</v>
      </c>
      <c r="H74" s="465" t="str">
        <f>IF(COUNTIF(B73:C81,""),"",IF($B$13="DR",IF(F74&gt;0.06,"X",""),IF(F74&gt;0.15,"X","")))</f>
        <v/>
      </c>
      <c r="I74" s="5">
        <f t="shared" si="14"/>
        <v>0</v>
      </c>
      <c r="J74" s="916"/>
      <c r="K74" s="916"/>
      <c r="L74" s="916"/>
      <c r="M74" s="929"/>
      <c r="N74" s="916"/>
      <c r="O74" s="916"/>
      <c r="P74" s="916"/>
      <c r="Q74" s="916"/>
      <c r="R74" s="916"/>
    </row>
    <row r="75" spans="1:18" ht="13.8" x14ac:dyDescent="0.3">
      <c r="A75" s="199">
        <v>3</v>
      </c>
      <c r="B75" s="193">
        <v>950</v>
      </c>
      <c r="C75" s="188">
        <v>11</v>
      </c>
      <c r="D75" s="464">
        <f>IF(COUNTIF(B73:C81,""),"",B75/C75)</f>
        <v>86.36363636363636</v>
      </c>
      <c r="E75" s="1644"/>
      <c r="F75" s="46">
        <f>IF(COUNTIF(B73:C81,""),"",+ABS(D75-E73)/E73)</f>
        <v>0.15012106537530279</v>
      </c>
      <c r="G75" s="465" t="str">
        <f>IF(COUNTIF(B73:C81,""),"",IF($B$13="DR",IF(F75&lt;=0.06,"X",""),IF(F75&lt;=0.15,"X","")))</f>
        <v/>
      </c>
      <c r="H75" s="465" t="str">
        <f>IF(COUNTIF(B73:C81,""),"",IF($B$13="DR",IF(F75&gt;0.06,"X",""),IF(F75&gt;0.15,"X","")))</f>
        <v>X</v>
      </c>
      <c r="I75" s="5">
        <f t="shared" si="14"/>
        <v>1</v>
      </c>
      <c r="J75" s="916"/>
      <c r="K75" s="916"/>
      <c r="L75" s="916"/>
      <c r="M75" s="929"/>
      <c r="N75" s="916"/>
      <c r="O75" s="916"/>
      <c r="P75" s="916"/>
      <c r="Q75" s="916"/>
      <c r="R75" s="916"/>
    </row>
    <row r="76" spans="1:18" ht="13.8" x14ac:dyDescent="0.3">
      <c r="A76" s="199">
        <v>4</v>
      </c>
      <c r="B76" s="195">
        <v>1300</v>
      </c>
      <c r="C76" s="188">
        <v>10</v>
      </c>
      <c r="D76" s="464">
        <f>IF(COUNTIF(B73:C81,""),"",B76/C76)</f>
        <v>130</v>
      </c>
      <c r="E76" s="1642">
        <f>IF(COUNTIF(B73:C81,""),"",AVERAGE(D76:D78))</f>
        <v>135.15151515151516</v>
      </c>
      <c r="F76" s="46">
        <f>IF(COUNTIF(B73:C81,""),"",+ABS(D76-E76)/E76)</f>
        <v>3.8116591928251155E-2</v>
      </c>
      <c r="G76" s="465" t="str">
        <f>IF(COUNTIF(B73:C81,""),"",IF($B$13="DR",IF(F76&lt;=0.06,"X",""),IF(F76&lt;=0.15,"X","")))</f>
        <v>X</v>
      </c>
      <c r="H76" s="465" t="str">
        <f>IF(COUNTIF(B73:C81,""),"",IF($B$13="DR",IF(F76&gt;0.06,"X",""),IF(F76&gt;0.15,"X","")))</f>
        <v/>
      </c>
      <c r="I76" s="5">
        <f t="shared" si="14"/>
        <v>0</v>
      </c>
      <c r="J76" s="916"/>
      <c r="K76" s="916"/>
      <c r="L76" s="916"/>
      <c r="M76" s="929"/>
      <c r="N76" s="916"/>
      <c r="O76" s="916"/>
      <c r="P76" s="916"/>
      <c r="Q76" s="916"/>
      <c r="R76" s="916"/>
    </row>
    <row r="77" spans="1:18" ht="13.8" x14ac:dyDescent="0.3">
      <c r="A77" s="200">
        <v>5</v>
      </c>
      <c r="B77" s="196">
        <v>1600</v>
      </c>
      <c r="C77" s="188">
        <v>11</v>
      </c>
      <c r="D77" s="464">
        <f>IF(COUNTIF(B73:C81,""),"",B77/C77)</f>
        <v>145.45454545454547</v>
      </c>
      <c r="E77" s="1643"/>
      <c r="F77" s="46">
        <f>IF(COUNTIF(B73:C81,""),"",+ABS(D77-E76)/E76)</f>
        <v>7.623318385650231E-2</v>
      </c>
      <c r="G77" s="465" t="str">
        <f>IF(COUNTIF(B73:C81,""),"",IF($B$13="DR",IF(F77&lt;=0.06,"X",""),IF(F77&lt;=0.15,"X","")))</f>
        <v/>
      </c>
      <c r="H77" s="465" t="str">
        <f>IF(COUNTIF(B73:C81,""),"",IF($B$13="DR",IF(F77&gt;0.06,"X",""),IF(F77&gt;0.15,"X","")))</f>
        <v>X</v>
      </c>
      <c r="I77" s="5">
        <f t="shared" si="14"/>
        <v>1</v>
      </c>
      <c r="J77" s="916"/>
      <c r="K77" s="916"/>
      <c r="L77" s="916" t="str">
        <f>B70</f>
        <v>cass#2</v>
      </c>
      <c r="M77" s="928" t="str">
        <f>E70</f>
        <v>18x24</v>
      </c>
      <c r="N77" s="927">
        <f>B77</f>
        <v>1600</v>
      </c>
      <c r="O77" s="927">
        <f>C77</f>
        <v>11</v>
      </c>
      <c r="P77" s="916"/>
      <c r="Q77" s="927">
        <f>D70</f>
        <v>77</v>
      </c>
      <c r="R77" s="916"/>
    </row>
    <row r="78" spans="1:18" ht="13.8" x14ac:dyDescent="0.3">
      <c r="A78" s="199">
        <v>6</v>
      </c>
      <c r="B78" s="196">
        <v>1300</v>
      </c>
      <c r="C78" s="188">
        <v>10</v>
      </c>
      <c r="D78" s="464">
        <f>IF(COUNTIF(B73:C81,""),"",B78/C78)</f>
        <v>130</v>
      </c>
      <c r="E78" s="1644"/>
      <c r="F78" s="46">
        <f>IF(COUNTIF(B73:C81,""),"",+ABS(D78-E76)/E76)</f>
        <v>3.8116591928251155E-2</v>
      </c>
      <c r="G78" s="465" t="str">
        <f>IF(COUNTIF(B73:C81,""),"",IF($B$13="DR",IF(F78&lt;=0.06,"X",""),IF(F78&lt;=0.15,"X","")))</f>
        <v>X</v>
      </c>
      <c r="H78" s="465" t="str">
        <f>IF(COUNTIF(B73:C81,""),"",IF($B$13="DR",IF(F78&gt;0.06,"X",""),IF(F78&gt;0.15,"X","")))</f>
        <v/>
      </c>
      <c r="I78" s="5">
        <f t="shared" si="14"/>
        <v>0</v>
      </c>
      <c r="J78" s="916"/>
      <c r="K78" s="916"/>
      <c r="L78" s="916"/>
      <c r="M78" s="929"/>
      <c r="N78" s="916"/>
      <c r="O78" s="916"/>
      <c r="P78" s="916"/>
      <c r="Q78" s="916"/>
      <c r="R78" s="916"/>
    </row>
    <row r="79" spans="1:18" ht="13.8" x14ac:dyDescent="0.3">
      <c r="A79" s="200">
        <v>7</v>
      </c>
      <c r="B79" s="196">
        <v>900</v>
      </c>
      <c r="C79" s="188">
        <v>10</v>
      </c>
      <c r="D79" s="464">
        <f>IF(COUNTIF(B73:C81,""),"",B79/C79)</f>
        <v>90</v>
      </c>
      <c r="E79" s="1642">
        <f>IF(COUNTIF(B73:C81,""),"",AVERAGE(D79:D81))</f>
        <v>114.24242424242425</v>
      </c>
      <c r="F79" s="46">
        <f>IF(COUNTIF(B73:C81,""),"",+ABS(D79-E79)/E79)</f>
        <v>0.21220159151193638</v>
      </c>
      <c r="G79" s="465" t="str">
        <f>IF(COUNTIF(B73:C81,""),"",IF($B$13="DR",IF(F79&lt;=0.06,"X",""),IF(F79&lt;=0.15,"X","")))</f>
        <v/>
      </c>
      <c r="H79" s="465" t="str">
        <f>IF(COUNTIF(B73:C81,""),"",IF($B$13="DR",IF(F79&gt;0.06,"X",""),IF(F79&gt;0.15,"X","")))</f>
        <v>X</v>
      </c>
      <c r="I79" s="5">
        <f t="shared" si="14"/>
        <v>1</v>
      </c>
      <c r="J79" s="916"/>
      <c r="K79" s="916"/>
      <c r="L79" s="916"/>
      <c r="M79" s="929"/>
      <c r="N79" s="916"/>
      <c r="O79" s="916"/>
      <c r="P79" s="916"/>
      <c r="Q79" s="916"/>
      <c r="R79" s="916"/>
    </row>
    <row r="80" spans="1:18" ht="13.8" x14ac:dyDescent="0.3">
      <c r="A80" s="201">
        <v>8</v>
      </c>
      <c r="B80" s="196">
        <v>1350</v>
      </c>
      <c r="C80" s="188">
        <v>11</v>
      </c>
      <c r="D80" s="464">
        <f>IF(COUNTIF(B73:C81,""),"",B80/C80)</f>
        <v>122.72727272727273</v>
      </c>
      <c r="E80" s="1643"/>
      <c r="F80" s="46">
        <f>IF(COUNTIF(B73:C81,""),"",+ABS(D80-E79)/E79)</f>
        <v>7.4270557029177717E-2</v>
      </c>
      <c r="G80" s="465" t="str">
        <f>IF(COUNTIF(B73:C81,""),"",IF($B$13="DR",IF(F80&lt;=0.06,"X",""),IF(F80&lt;=0.15,"X","")))</f>
        <v/>
      </c>
      <c r="H80" s="465" t="str">
        <f>IF(COUNTIF(B73:C81,""),"",IF($B$13="DR",IF(F80&gt;0.06,"X",""),IF(F80&gt;0.15,"X","")))</f>
        <v>X</v>
      </c>
      <c r="I80" s="5">
        <f t="shared" si="14"/>
        <v>1</v>
      </c>
      <c r="J80" s="916"/>
      <c r="K80" s="916"/>
      <c r="L80" s="916"/>
      <c r="M80" s="929"/>
      <c r="N80" s="916"/>
      <c r="O80" s="916"/>
      <c r="P80" s="916"/>
      <c r="Q80" s="916"/>
      <c r="R80" s="916"/>
    </row>
    <row r="81" spans="1:18" ht="13.8" x14ac:dyDescent="0.3">
      <c r="A81" s="180">
        <v>9</v>
      </c>
      <c r="B81" s="196">
        <v>1300</v>
      </c>
      <c r="C81" s="188">
        <v>10</v>
      </c>
      <c r="D81" s="464">
        <f>IF(COUNTIF(B73:C81,""),"",B81/C81)</f>
        <v>130</v>
      </c>
      <c r="E81" s="1644"/>
      <c r="F81" s="46">
        <f>IF(COUNTIF(B73:C81,""),"",+ABS(D81-E79)/E79)</f>
        <v>0.13793103448275856</v>
      </c>
      <c r="G81" s="465" t="str">
        <f>IF(COUNTIF(B73:C81,""),"",IF($B$13="DR",IF(F81&lt;=0.06,"X",""),IF(F81&lt;=0.15,"X","")))</f>
        <v/>
      </c>
      <c r="H81" s="465" t="str">
        <f>IF(COUNTIF(B73:C81,""),"",IF($B$13="DR",IF(F81&gt;0.06,"X",""),IF(F81&gt;0.15,"X","")))</f>
        <v>X</v>
      </c>
      <c r="I81" s="5">
        <f t="shared" si="14"/>
        <v>1</v>
      </c>
      <c r="J81" s="916"/>
      <c r="K81" s="916"/>
      <c r="L81" s="916"/>
      <c r="M81" s="929"/>
      <c r="N81" s="916"/>
      <c r="O81" s="916"/>
      <c r="P81" s="916"/>
      <c r="Q81" s="916"/>
      <c r="R81" s="916"/>
    </row>
    <row r="82" spans="1:18" ht="13.8" x14ac:dyDescent="0.3">
      <c r="F82" s="877"/>
      <c r="J82" s="916"/>
      <c r="K82" s="916"/>
      <c r="L82" s="916"/>
      <c r="M82" s="929"/>
      <c r="N82" s="916"/>
      <c r="O82" s="916"/>
      <c r="P82" s="916"/>
      <c r="Q82" s="916"/>
      <c r="R82" s="916"/>
    </row>
    <row r="83" spans="1:18" ht="13.8" x14ac:dyDescent="0.3">
      <c r="A83" s="563" t="s">
        <v>805</v>
      </c>
      <c r="B83" s="192" t="s">
        <v>439</v>
      </c>
      <c r="C83" s="563" t="s">
        <v>585</v>
      </c>
      <c r="D83" s="192">
        <v>78</v>
      </c>
      <c r="E83" s="197" t="s">
        <v>142</v>
      </c>
      <c r="F83" s="878"/>
      <c r="G83" s="176"/>
      <c r="H83" s="176"/>
      <c r="J83" s="916"/>
      <c r="K83" s="916"/>
      <c r="L83" s="916"/>
      <c r="M83" s="929"/>
      <c r="N83" s="916"/>
      <c r="O83" s="916"/>
      <c r="P83" s="916"/>
      <c r="Q83" s="916"/>
      <c r="R83" s="916"/>
    </row>
    <row r="84" spans="1:18" ht="13.8" x14ac:dyDescent="0.3">
      <c r="A84" s="549" t="s">
        <v>144</v>
      </c>
      <c r="B84" s="457" t="s">
        <v>161</v>
      </c>
      <c r="C84" s="457" t="s">
        <v>145</v>
      </c>
      <c r="D84" s="548" t="s">
        <v>146</v>
      </c>
      <c r="E84" s="1640" t="s">
        <v>147</v>
      </c>
      <c r="F84" s="879" t="s">
        <v>148</v>
      </c>
      <c r="G84" s="1518" t="s">
        <v>15</v>
      </c>
      <c r="H84" s="1518"/>
      <c r="I84" s="495"/>
      <c r="J84" s="916"/>
      <c r="K84" s="916"/>
      <c r="L84" s="916"/>
      <c r="M84" s="929"/>
      <c r="N84" s="916"/>
      <c r="O84" s="916"/>
      <c r="P84" s="916"/>
      <c r="Q84" s="916"/>
      <c r="R84" s="916"/>
    </row>
    <row r="85" spans="1:18" ht="13.8" x14ac:dyDescent="0.3">
      <c r="A85" s="459" t="s">
        <v>149</v>
      </c>
      <c r="B85" s="460" t="s">
        <v>150</v>
      </c>
      <c r="C85" s="461" t="s">
        <v>156</v>
      </c>
      <c r="D85" s="462" t="s">
        <v>157</v>
      </c>
      <c r="E85" s="1641"/>
      <c r="F85" s="880" t="s">
        <v>152</v>
      </c>
      <c r="G85" s="534" t="s">
        <v>16</v>
      </c>
      <c r="H85" s="534" t="s">
        <v>17</v>
      </c>
      <c r="I85" s="495"/>
      <c r="J85" s="916"/>
      <c r="K85" s="916"/>
      <c r="L85" s="916"/>
      <c r="M85" s="929"/>
      <c r="N85" s="916"/>
      <c r="O85" s="916"/>
      <c r="P85" s="916"/>
      <c r="Q85" s="916"/>
      <c r="R85" s="916"/>
    </row>
    <row r="86" spans="1:18" ht="13.8" x14ac:dyDescent="0.3">
      <c r="A86" s="198">
        <v>1</v>
      </c>
      <c r="B86" s="193">
        <v>703</v>
      </c>
      <c r="C86" s="188">
        <v>11</v>
      </c>
      <c r="D86" s="464">
        <f>IF(COUNTIF(B86:C94,""),"",B86/C86)</f>
        <v>63.909090909090907</v>
      </c>
      <c r="E86" s="1642">
        <f>IF(COUNTIF(B86:C94,""),"",AVERAGE(D86:D88))</f>
        <v>75.090909090909079</v>
      </c>
      <c r="F86" s="46">
        <f>IF(COUNTIF(B86:C94,""),"",+ABS(D86-E86)/E86)</f>
        <v>0.14891041162227595</v>
      </c>
      <c r="G86" s="465" t="str">
        <f>IF(COUNTIF(B86:C94,""),"",IF($B$13="DR",IF(F86&lt;=0.06,"X",""),IF(F86&lt;=0.15,"X","")))</f>
        <v/>
      </c>
      <c r="H86" s="465" t="str">
        <f>IF(COUNTIF(B86:C94,""),"",IF($B$13="DR",IF(F86&gt;0.06,"X",""),IF(F86&gt;0.15,"X","")))</f>
        <v>X</v>
      </c>
      <c r="I86" s="5">
        <f t="shared" ref="I86:I94" si="15">COUNTIF(H86,"X")</f>
        <v>1</v>
      </c>
      <c r="J86" s="916"/>
      <c r="K86" s="916"/>
      <c r="L86" s="916"/>
      <c r="M86" s="929"/>
      <c r="N86" s="916"/>
      <c r="O86" s="916"/>
      <c r="P86" s="916"/>
      <c r="Q86" s="916"/>
      <c r="R86" s="916"/>
    </row>
    <row r="87" spans="1:18" ht="13.8" x14ac:dyDescent="0.3">
      <c r="A87" s="199">
        <v>2</v>
      </c>
      <c r="B87" s="193">
        <v>750</v>
      </c>
      <c r="C87" s="188">
        <v>10</v>
      </c>
      <c r="D87" s="464">
        <f>IF(COUNTIF(B86:C94,""),"",B87/C87)</f>
        <v>75</v>
      </c>
      <c r="E87" s="1643"/>
      <c r="F87" s="46">
        <f>IF(COUNTIF(B86:C94,""),"",+ABS(D87-E86)/E86)</f>
        <v>1.2106537530264798E-3</v>
      </c>
      <c r="G87" s="465" t="str">
        <f>IF(COUNTIF(B86:C94,""),"",IF($B$13="DR",IF(F87&lt;=0.06,"X",""),IF(F87&lt;=0.15,"X","")))</f>
        <v>X</v>
      </c>
      <c r="H87" s="465" t="str">
        <f>IF(COUNTIF(B86:C94,""),"",IF($B$13="DR",IF(F87&gt;0.06,"X",""),IF(F87&gt;0.15,"X","")))</f>
        <v/>
      </c>
      <c r="I87" s="5">
        <f t="shared" si="15"/>
        <v>0</v>
      </c>
      <c r="J87" s="916"/>
      <c r="K87" s="916"/>
      <c r="L87" s="916"/>
      <c r="M87" s="929"/>
      <c r="N87" s="916"/>
      <c r="O87" s="916"/>
      <c r="P87" s="916"/>
      <c r="Q87" s="916"/>
      <c r="R87" s="916"/>
    </row>
    <row r="88" spans="1:18" ht="13.8" x14ac:dyDescent="0.3">
      <c r="A88" s="199">
        <v>3</v>
      </c>
      <c r="B88" s="193">
        <v>950</v>
      </c>
      <c r="C88" s="188">
        <v>11</v>
      </c>
      <c r="D88" s="464">
        <f>IF(COUNTIF(B86:C94,""),"",B88/C88)</f>
        <v>86.36363636363636</v>
      </c>
      <c r="E88" s="1644"/>
      <c r="F88" s="46">
        <f>IF(COUNTIF(B86:C94,""),"",+ABS(D88-E86)/E86)</f>
        <v>0.15012106537530279</v>
      </c>
      <c r="G88" s="465" t="str">
        <f>IF(COUNTIF(B86:C94,""),"",IF($B$13="DR",IF(F88&lt;=0.06,"X",""),IF(F88&lt;=0.15,"X","")))</f>
        <v/>
      </c>
      <c r="H88" s="465" t="str">
        <f>IF(COUNTIF(B86:C94,""),"",IF($B$13="DR",IF(F88&gt;0.06,"X",""),IF(F88&gt;0.15,"X","")))</f>
        <v>X</v>
      </c>
      <c r="I88" s="5">
        <f t="shared" si="15"/>
        <v>1</v>
      </c>
      <c r="J88" s="916"/>
      <c r="K88" s="916"/>
      <c r="L88" s="916"/>
      <c r="M88" s="929"/>
      <c r="N88" s="916"/>
      <c r="O88" s="916"/>
      <c r="P88" s="916"/>
      <c r="Q88" s="916"/>
      <c r="R88" s="916"/>
    </row>
    <row r="89" spans="1:18" ht="13.8" x14ac:dyDescent="0.3">
      <c r="A89" s="199">
        <v>4</v>
      </c>
      <c r="B89" s="195">
        <v>1300</v>
      </c>
      <c r="C89" s="188">
        <v>10</v>
      </c>
      <c r="D89" s="464">
        <f>IF(COUNTIF(B86:C94,""),"",B89/C89)</f>
        <v>130</v>
      </c>
      <c r="E89" s="1642">
        <f>IF(COUNTIF(B86:C94,""),"",AVERAGE(D89:D91))</f>
        <v>135.15151515151516</v>
      </c>
      <c r="F89" s="46">
        <f>IF(COUNTIF(B86:C94,""),"",+ABS(D89-E89)/E89)</f>
        <v>3.8116591928251155E-2</v>
      </c>
      <c r="G89" s="465" t="str">
        <f>IF(COUNTIF(B86:C94,""),"",IF($B$13="DR",IF(F89&lt;=0.06,"X",""),IF(F89&lt;=0.15,"X","")))</f>
        <v>X</v>
      </c>
      <c r="H89" s="465" t="str">
        <f>IF(COUNTIF(B86:C94,""),"",IF($B$13="DR",IF(F89&gt;0.06,"X",""),IF(F89&gt;0.15,"X","")))</f>
        <v/>
      </c>
      <c r="I89" s="5">
        <f t="shared" si="15"/>
        <v>0</v>
      </c>
      <c r="J89" s="916"/>
      <c r="K89" s="916"/>
      <c r="L89" s="916"/>
      <c r="M89" s="929"/>
      <c r="N89" s="916"/>
      <c r="O89" s="916"/>
      <c r="P89" s="916"/>
      <c r="Q89" s="916"/>
      <c r="R89" s="916"/>
    </row>
    <row r="90" spans="1:18" ht="13.8" x14ac:dyDescent="0.3">
      <c r="A90" s="200">
        <v>5</v>
      </c>
      <c r="B90" s="196">
        <v>1600</v>
      </c>
      <c r="C90" s="188">
        <v>11</v>
      </c>
      <c r="D90" s="464">
        <f>IF(COUNTIF(B86:C94,""),"",B90/C90)</f>
        <v>145.45454545454547</v>
      </c>
      <c r="E90" s="1643"/>
      <c r="F90" s="46">
        <f>IF(COUNTIF(B86:C94,""),"",+ABS(D90-E89)/E89)</f>
        <v>7.623318385650231E-2</v>
      </c>
      <c r="G90" s="465" t="str">
        <f>IF(COUNTIF(B86:C94,""),"",IF($B$13="DR",IF(F90&lt;=0.06,"X",""),IF(F90&lt;=0.15,"X","")))</f>
        <v/>
      </c>
      <c r="H90" s="465" t="str">
        <f>IF(COUNTIF(B86:C94,""),"",IF($B$13="DR",IF(F90&gt;0.06,"X",""),IF(F90&gt;0.15,"X","")))</f>
        <v>X</v>
      </c>
      <c r="I90" s="5">
        <f t="shared" si="15"/>
        <v>1</v>
      </c>
      <c r="J90" s="916"/>
      <c r="K90" s="916"/>
      <c r="L90" s="916" t="str">
        <f>B83</f>
        <v>cass#3</v>
      </c>
      <c r="M90" s="928" t="str">
        <f>E83</f>
        <v>18x24</v>
      </c>
      <c r="N90" s="927">
        <f>B90</f>
        <v>1600</v>
      </c>
      <c r="O90" s="927">
        <f>C90</f>
        <v>11</v>
      </c>
      <c r="P90" s="916"/>
      <c r="Q90" s="927">
        <f>D83</f>
        <v>78</v>
      </c>
      <c r="R90" s="916"/>
    </row>
    <row r="91" spans="1:18" ht="13.8" x14ac:dyDescent="0.3">
      <c r="A91" s="199">
        <v>6</v>
      </c>
      <c r="B91" s="196">
        <v>1300</v>
      </c>
      <c r="C91" s="188">
        <v>10</v>
      </c>
      <c r="D91" s="464">
        <f>IF(COUNTIF(B86:C94,""),"",B91/C91)</f>
        <v>130</v>
      </c>
      <c r="E91" s="1644"/>
      <c r="F91" s="46">
        <f>IF(COUNTIF(B86:C94,""),"",+ABS(D91-E89)/E89)</f>
        <v>3.8116591928251155E-2</v>
      </c>
      <c r="G91" s="465" t="str">
        <f>IF(COUNTIF(B86:C94,""),"",IF($B$13="DR",IF(F91&lt;=0.06,"X",""),IF(F91&lt;=0.15,"X","")))</f>
        <v>X</v>
      </c>
      <c r="H91" s="465" t="str">
        <f>IF(COUNTIF(B86:C94,""),"",IF($B$13="DR",IF(F91&gt;0.06,"X",""),IF(F91&gt;0.15,"X","")))</f>
        <v/>
      </c>
      <c r="I91" s="5">
        <f t="shared" si="15"/>
        <v>0</v>
      </c>
      <c r="J91" s="916"/>
      <c r="K91" s="916"/>
      <c r="L91" s="916"/>
      <c r="M91" s="929"/>
      <c r="N91" s="916"/>
      <c r="O91" s="916"/>
      <c r="P91" s="916"/>
      <c r="Q91" s="916"/>
      <c r="R91" s="916"/>
    </row>
    <row r="92" spans="1:18" ht="13.8" x14ac:dyDescent="0.3">
      <c r="A92" s="200">
        <v>7</v>
      </c>
      <c r="B92" s="196">
        <v>900</v>
      </c>
      <c r="C92" s="188">
        <v>10</v>
      </c>
      <c r="D92" s="464">
        <f>IF(COUNTIF(B86:C94,""),"",B92/C92)</f>
        <v>90</v>
      </c>
      <c r="E92" s="1642">
        <f>IF(COUNTIF(B86:C94,""),"",AVERAGE(D92:D94))</f>
        <v>114.24242424242425</v>
      </c>
      <c r="F92" s="46">
        <f>IF(COUNTIF(B86:C94,""),"",+ABS(D92-E92)/E92)</f>
        <v>0.21220159151193638</v>
      </c>
      <c r="G92" s="465" t="str">
        <f>IF(COUNTIF(B86:C94,""),"",IF($B$13="DR",IF(F92&lt;=0.06,"X",""),IF(F92&lt;=0.15,"X","")))</f>
        <v/>
      </c>
      <c r="H92" s="465" t="str">
        <f>IF(COUNTIF(B86:C94,""),"",IF($B$13="DR",IF(F92&gt;0.06,"X",""),IF(F92&gt;0.15,"X","")))</f>
        <v>X</v>
      </c>
      <c r="I92" s="5">
        <f t="shared" si="15"/>
        <v>1</v>
      </c>
      <c r="J92" s="916"/>
      <c r="K92" s="916"/>
      <c r="L92" s="916"/>
      <c r="M92" s="929"/>
      <c r="N92" s="916"/>
      <c r="O92" s="916"/>
      <c r="P92" s="916"/>
      <c r="Q92" s="916"/>
      <c r="R92" s="916"/>
    </row>
    <row r="93" spans="1:18" ht="13.8" x14ac:dyDescent="0.3">
      <c r="A93" s="201">
        <v>8</v>
      </c>
      <c r="B93" s="196">
        <v>1350</v>
      </c>
      <c r="C93" s="188">
        <v>11</v>
      </c>
      <c r="D93" s="464">
        <f>IF(COUNTIF(B86:C94,""),"",B93/C93)</f>
        <v>122.72727272727273</v>
      </c>
      <c r="E93" s="1643"/>
      <c r="F93" s="46">
        <f>IF(COUNTIF(B86:C94,""),"",+ABS(D93-E92)/E92)</f>
        <v>7.4270557029177717E-2</v>
      </c>
      <c r="G93" s="465" t="str">
        <f>IF(COUNTIF(B86:C94,""),"",IF($B$13="DR",IF(F93&lt;=0.06,"X",""),IF(F93&lt;=0.15,"X","")))</f>
        <v/>
      </c>
      <c r="H93" s="465" t="str">
        <f>IF(COUNTIF(B86:C94,""),"",IF($B$13="DR",IF(F93&gt;0.06,"X",""),IF(F93&gt;0.15,"X","")))</f>
        <v>X</v>
      </c>
      <c r="I93" s="5">
        <f t="shared" si="15"/>
        <v>1</v>
      </c>
      <c r="J93" s="916"/>
      <c r="K93" s="916"/>
      <c r="L93" s="916"/>
      <c r="M93" s="929"/>
      <c r="N93" s="916"/>
      <c r="O93" s="916"/>
      <c r="P93" s="916"/>
      <c r="Q93" s="916"/>
      <c r="R93" s="916"/>
    </row>
    <row r="94" spans="1:18" ht="13.8" x14ac:dyDescent="0.3">
      <c r="A94" s="180">
        <v>9</v>
      </c>
      <c r="B94" s="196">
        <v>1300</v>
      </c>
      <c r="C94" s="188">
        <v>10</v>
      </c>
      <c r="D94" s="464">
        <f>IF(COUNTIF(B86:C94,""),"",B94/C94)</f>
        <v>130</v>
      </c>
      <c r="E94" s="1644"/>
      <c r="F94" s="46">
        <f>IF(COUNTIF(B86:C94,""),"",+ABS(D94-E92)/E92)</f>
        <v>0.13793103448275856</v>
      </c>
      <c r="G94" s="465" t="str">
        <f>IF(COUNTIF(B86:C94,""),"",IF($B$13="DR",IF(F94&lt;=0.06,"X",""),IF(F94&lt;=0.15,"X","")))</f>
        <v/>
      </c>
      <c r="H94" s="465" t="str">
        <f>IF(COUNTIF(B86:C94,""),"",IF($B$13="DR",IF(F94&gt;0.06,"X",""),IF(F94&gt;0.15,"X","")))</f>
        <v>X</v>
      </c>
      <c r="I94" s="5">
        <f t="shared" si="15"/>
        <v>1</v>
      </c>
      <c r="J94" s="916"/>
      <c r="K94" s="916"/>
      <c r="L94" s="916"/>
      <c r="M94" s="929"/>
      <c r="N94" s="916"/>
      <c r="O94" s="916"/>
      <c r="P94" s="916"/>
      <c r="Q94" s="916"/>
      <c r="R94" s="916"/>
    </row>
    <row r="95" spans="1:18" ht="13.8" x14ac:dyDescent="0.3">
      <c r="J95" s="916"/>
      <c r="K95" s="916"/>
      <c r="L95" s="916"/>
      <c r="M95" s="929"/>
      <c r="N95" s="916"/>
      <c r="O95" s="916"/>
      <c r="P95" s="916"/>
      <c r="Q95" s="916"/>
      <c r="R95" s="916"/>
    </row>
    <row r="96" spans="1:18" ht="13.8" x14ac:dyDescent="0.3">
      <c r="A96" s="563" t="s">
        <v>805</v>
      </c>
      <c r="B96" s="192" t="s">
        <v>652</v>
      </c>
      <c r="C96" s="563" t="s">
        <v>585</v>
      </c>
      <c r="D96" s="192">
        <v>77</v>
      </c>
      <c r="E96" s="197" t="s">
        <v>142</v>
      </c>
      <c r="F96" s="176"/>
      <c r="G96" s="176"/>
      <c r="H96" s="176"/>
      <c r="J96" s="916"/>
      <c r="K96" s="916"/>
      <c r="L96" s="916"/>
      <c r="M96" s="929"/>
      <c r="N96" s="916"/>
      <c r="O96" s="916"/>
      <c r="P96" s="916"/>
      <c r="Q96" s="916"/>
      <c r="R96" s="916"/>
    </row>
    <row r="97" spans="1:18" ht="13.8" x14ac:dyDescent="0.3">
      <c r="A97" s="549" t="s">
        <v>144</v>
      </c>
      <c r="B97" s="457" t="s">
        <v>161</v>
      </c>
      <c r="C97" s="457" t="s">
        <v>145</v>
      </c>
      <c r="D97" s="548" t="s">
        <v>146</v>
      </c>
      <c r="E97" s="1640" t="s">
        <v>147</v>
      </c>
      <c r="F97" s="458" t="s">
        <v>148</v>
      </c>
      <c r="G97" s="1518" t="s">
        <v>15</v>
      </c>
      <c r="H97" s="1518"/>
      <c r="I97" s="495"/>
      <c r="J97" s="916"/>
      <c r="K97" s="916"/>
      <c r="L97" s="916"/>
      <c r="M97" s="929"/>
      <c r="N97" s="916"/>
      <c r="O97" s="916"/>
      <c r="P97" s="916"/>
      <c r="Q97" s="916"/>
      <c r="R97" s="916"/>
    </row>
    <row r="98" spans="1:18" ht="13.8" x14ac:dyDescent="0.3">
      <c r="A98" s="459" t="s">
        <v>149</v>
      </c>
      <c r="B98" s="460" t="s">
        <v>150</v>
      </c>
      <c r="C98" s="461" t="s">
        <v>156</v>
      </c>
      <c r="D98" s="462" t="s">
        <v>157</v>
      </c>
      <c r="E98" s="1641"/>
      <c r="F98" s="463" t="s">
        <v>152</v>
      </c>
      <c r="G98" s="534" t="s">
        <v>16</v>
      </c>
      <c r="H98" s="534" t="s">
        <v>17</v>
      </c>
      <c r="I98" s="495"/>
      <c r="J98" s="916"/>
      <c r="K98" s="916"/>
      <c r="L98" s="916"/>
      <c r="M98" s="929"/>
      <c r="N98" s="916"/>
      <c r="O98" s="916"/>
      <c r="P98" s="916"/>
      <c r="Q98" s="916"/>
      <c r="R98" s="916"/>
    </row>
    <row r="99" spans="1:18" ht="13.8" x14ac:dyDescent="0.3">
      <c r="A99" s="198">
        <v>1</v>
      </c>
      <c r="B99" s="193">
        <v>703</v>
      </c>
      <c r="C99" s="188">
        <v>11</v>
      </c>
      <c r="D99" s="464">
        <f>IF(COUNTIF(B99:C107,""),"",B99/C99)</f>
        <v>63.909090909090907</v>
      </c>
      <c r="E99" s="1642">
        <f>IF(COUNTIF(B99:C107,""),"",AVERAGE(D99:D101))</f>
        <v>75.090909090909079</v>
      </c>
      <c r="F99" s="46">
        <f>IF(COUNTIF(B99:C107,""),"",+ABS(D99-E99)/E99)</f>
        <v>0.14891041162227595</v>
      </c>
      <c r="G99" s="465" t="str">
        <f>IF(COUNTIF(B99:C107,""),"",IF($B$13="DR",IF(F99&lt;=0.06,"X",""),IF(F99&lt;=0.15,"X","")))</f>
        <v/>
      </c>
      <c r="H99" s="465" t="str">
        <f>IF(COUNTIF(B99:C107,""),"",IF($B$13="DR",IF(F99&gt;0.06,"X",""),IF(F99&gt;0.15,"X","")))</f>
        <v>X</v>
      </c>
      <c r="I99" s="5">
        <f t="shared" ref="I99:I107" si="16">COUNTIF(H99,"X")</f>
        <v>1</v>
      </c>
      <c r="J99" s="916"/>
      <c r="K99" s="916"/>
      <c r="L99" s="916"/>
      <c r="M99" s="929"/>
      <c r="N99" s="916"/>
      <c r="O99" s="916"/>
      <c r="P99" s="916"/>
      <c r="Q99" s="916"/>
      <c r="R99" s="916"/>
    </row>
    <row r="100" spans="1:18" ht="13.8" x14ac:dyDescent="0.3">
      <c r="A100" s="199">
        <v>2</v>
      </c>
      <c r="B100" s="193">
        <v>750</v>
      </c>
      <c r="C100" s="188">
        <v>10</v>
      </c>
      <c r="D100" s="464">
        <f>IF(COUNTIF(B99:C107,""),"",B100/C100)</f>
        <v>75</v>
      </c>
      <c r="E100" s="1643"/>
      <c r="F100" s="46">
        <f>IF(COUNTIF(B99:C107,""),"",+ABS(D100-E99)/E99)</f>
        <v>1.2106537530264798E-3</v>
      </c>
      <c r="G100" s="465" t="str">
        <f>IF(COUNTIF(B99:C107,""),"",IF($B$13="DR",IF(F100&lt;=0.06,"X",""),IF(F100&lt;=0.15,"X","")))</f>
        <v>X</v>
      </c>
      <c r="H100" s="465" t="str">
        <f>IF(COUNTIF(B99:C107,""),"",IF($B$13="DR",IF(F100&gt;0.06,"X",""),IF(F100&gt;0.15,"X","")))</f>
        <v/>
      </c>
      <c r="I100" s="5">
        <f t="shared" si="16"/>
        <v>0</v>
      </c>
      <c r="J100" s="916"/>
      <c r="K100" s="916"/>
      <c r="L100" s="916"/>
      <c r="M100" s="929"/>
      <c r="N100" s="916"/>
      <c r="O100" s="916"/>
      <c r="P100" s="916"/>
      <c r="Q100" s="916"/>
      <c r="R100" s="916"/>
    </row>
    <row r="101" spans="1:18" ht="13.8" x14ac:dyDescent="0.3">
      <c r="A101" s="199">
        <v>3</v>
      </c>
      <c r="B101" s="193">
        <v>950</v>
      </c>
      <c r="C101" s="188">
        <v>11</v>
      </c>
      <c r="D101" s="464">
        <f>IF(COUNTIF(B99:C107,""),"",B101/C101)</f>
        <v>86.36363636363636</v>
      </c>
      <c r="E101" s="1644"/>
      <c r="F101" s="46">
        <f>IF(COUNTIF(B99:C107,""),"",+ABS(D101-E99)/E99)</f>
        <v>0.15012106537530279</v>
      </c>
      <c r="G101" s="465" t="str">
        <f>IF(COUNTIF(B99:C107,""),"",IF($B$13="DR",IF(F101&lt;=0.06,"X",""),IF(F101&lt;=0.15,"X","")))</f>
        <v/>
      </c>
      <c r="H101" s="465" t="str">
        <f>IF(COUNTIF(B99:C107,""),"",IF($B$13="DR",IF(F101&gt;0.06,"X",""),IF(F101&gt;0.15,"X","")))</f>
        <v>X</v>
      </c>
      <c r="I101" s="5">
        <f t="shared" si="16"/>
        <v>1</v>
      </c>
      <c r="J101" s="916"/>
      <c r="K101" s="916"/>
      <c r="L101" s="916"/>
      <c r="M101" s="929"/>
      <c r="N101" s="916"/>
      <c r="O101" s="916"/>
      <c r="P101" s="916"/>
      <c r="Q101" s="916"/>
      <c r="R101" s="916"/>
    </row>
    <row r="102" spans="1:18" ht="13.8" x14ac:dyDescent="0.3">
      <c r="A102" s="199">
        <v>4</v>
      </c>
      <c r="B102" s="195">
        <v>1300</v>
      </c>
      <c r="C102" s="188">
        <v>10</v>
      </c>
      <c r="D102" s="464">
        <f>IF(COUNTIF(B99:C107,""),"",B102/C102)</f>
        <v>130</v>
      </c>
      <c r="E102" s="1642">
        <f>IF(COUNTIF(B99:C107,""),"",AVERAGE(D102:D104))</f>
        <v>133.63636363636363</v>
      </c>
      <c r="F102" s="46">
        <f>IF(COUNTIF(B99:C107,""),"",+ABS(D102-E102)/E102)</f>
        <v>2.7210884353741423E-2</v>
      </c>
      <c r="G102" s="465" t="str">
        <f>IF(COUNTIF(B99:C107,""),"",IF($B$13="DR",IF(F102&lt;=0.06,"X",""),IF(F102&lt;=0.15,"X","")))</f>
        <v>X</v>
      </c>
      <c r="H102" s="465" t="str">
        <f>IF(COUNTIF(B99:C107,""),"",IF($B$13="DR",IF(F102&gt;0.06,"X",""),IF(F102&gt;0.15,"X","")))</f>
        <v/>
      </c>
      <c r="I102" s="5">
        <f t="shared" si="16"/>
        <v>0</v>
      </c>
      <c r="J102" s="916"/>
      <c r="K102" s="916"/>
      <c r="L102" s="916"/>
      <c r="M102" s="929"/>
      <c r="N102" s="916"/>
      <c r="O102" s="916"/>
      <c r="P102" s="916"/>
      <c r="Q102" s="916"/>
      <c r="R102" s="916"/>
    </row>
    <row r="103" spans="1:18" ht="13.8" x14ac:dyDescent="0.3">
      <c r="A103" s="200">
        <v>5</v>
      </c>
      <c r="B103" s="196">
        <v>1550</v>
      </c>
      <c r="C103" s="188">
        <v>11</v>
      </c>
      <c r="D103" s="464">
        <f>IF(COUNTIF(B99:C107,""),"",B103/C103)</f>
        <v>140.90909090909091</v>
      </c>
      <c r="E103" s="1643"/>
      <c r="F103" s="46">
        <f>IF(COUNTIF(B99:C107,""),"",+ABS(D103-E102)/E102)</f>
        <v>5.4421768707483054E-2</v>
      </c>
      <c r="G103" s="465" t="str">
        <f>IF(COUNTIF(B99:C107,""),"",IF($B$13="DR",IF(F103&lt;=0.06,"X",""),IF(F103&lt;=0.15,"X","")))</f>
        <v>X</v>
      </c>
      <c r="H103" s="465" t="str">
        <f>IF(COUNTIF(B99:C107,""),"",IF($B$13="DR",IF(F103&gt;0.06,"X",""),IF(F103&gt;0.15,"X","")))</f>
        <v/>
      </c>
      <c r="I103" s="5">
        <f t="shared" si="16"/>
        <v>0</v>
      </c>
      <c r="J103" s="916"/>
      <c r="K103" s="916"/>
      <c r="L103" s="916" t="str">
        <f>B96</f>
        <v>cass#4</v>
      </c>
      <c r="M103" s="928" t="str">
        <f>E96</f>
        <v>18x24</v>
      </c>
      <c r="N103" s="927">
        <f>B103</f>
        <v>1550</v>
      </c>
      <c r="O103" s="927">
        <f>C103</f>
        <v>11</v>
      </c>
      <c r="P103" s="916"/>
      <c r="Q103" s="927">
        <f>D96</f>
        <v>77</v>
      </c>
      <c r="R103" s="916"/>
    </row>
    <row r="104" spans="1:18" ht="13.8" x14ac:dyDescent="0.3">
      <c r="A104" s="199">
        <v>6</v>
      </c>
      <c r="B104" s="196">
        <v>1300</v>
      </c>
      <c r="C104" s="188">
        <v>10</v>
      </c>
      <c r="D104" s="464">
        <f>IF(COUNTIF(B99:C107,""),"",B104/C104)</f>
        <v>130</v>
      </c>
      <c r="E104" s="1644"/>
      <c r="F104" s="46">
        <f>IF(COUNTIF(B99:C107,""),"",+ABS(D104-E102)/E102)</f>
        <v>2.7210884353741423E-2</v>
      </c>
      <c r="G104" s="465" t="str">
        <f>IF(COUNTIF(B99:C107,""),"",IF($B$13="DR",IF(F104&lt;=0.06,"X",""),IF(F104&lt;=0.15,"X","")))</f>
        <v>X</v>
      </c>
      <c r="H104" s="465" t="str">
        <f>IF(COUNTIF(B99:C107,""),"",IF($B$13="DR",IF(F104&gt;0.06,"X",""),IF(F104&gt;0.15,"X","")))</f>
        <v/>
      </c>
      <c r="I104" s="5">
        <f t="shared" si="16"/>
        <v>0</v>
      </c>
      <c r="J104" s="916"/>
      <c r="K104" s="916"/>
      <c r="L104" s="916"/>
      <c r="M104" s="929"/>
      <c r="N104" s="916"/>
      <c r="O104" s="916"/>
      <c r="P104" s="916"/>
      <c r="Q104" s="916"/>
      <c r="R104" s="916"/>
    </row>
    <row r="105" spans="1:18" ht="13.8" x14ac:dyDescent="0.3">
      <c r="A105" s="200">
        <v>7</v>
      </c>
      <c r="B105" s="196">
        <v>900</v>
      </c>
      <c r="C105" s="188">
        <v>10</v>
      </c>
      <c r="D105" s="464">
        <f>IF(COUNTIF(B99:C107,""),"",B105/C105)</f>
        <v>90</v>
      </c>
      <c r="E105" s="1642">
        <f>IF(COUNTIF(B99:C107,""),"",AVERAGE(D105:D107))</f>
        <v>114.24242424242425</v>
      </c>
      <c r="F105" s="46">
        <f>IF(COUNTIF(B99:C107,""),"",+ABS(D105-E105)/E105)</f>
        <v>0.21220159151193638</v>
      </c>
      <c r="G105" s="465" t="str">
        <f>IF(COUNTIF(B99:C107,""),"",IF($B$13="DR",IF(F105&lt;=0.06,"X",""),IF(F105&lt;=0.15,"X","")))</f>
        <v/>
      </c>
      <c r="H105" s="465" t="str">
        <f>IF(COUNTIF(B99:C107,""),"",IF($B$13="DR",IF(F105&gt;0.06,"X",""),IF(F105&gt;0.15,"X","")))</f>
        <v>X</v>
      </c>
      <c r="I105" s="5">
        <f t="shared" si="16"/>
        <v>1</v>
      </c>
      <c r="J105" s="916"/>
      <c r="K105" s="916"/>
      <c r="L105" s="916"/>
      <c r="M105" s="929"/>
      <c r="N105" s="916"/>
      <c r="O105" s="916"/>
      <c r="P105" s="916"/>
      <c r="Q105" s="916"/>
      <c r="R105" s="916"/>
    </row>
    <row r="106" spans="1:18" ht="13.8" x14ac:dyDescent="0.3">
      <c r="A106" s="201">
        <v>8</v>
      </c>
      <c r="B106" s="196">
        <v>1350</v>
      </c>
      <c r="C106" s="188">
        <v>11</v>
      </c>
      <c r="D106" s="464">
        <f>IF(COUNTIF(B99:C107,""),"",B106/C106)</f>
        <v>122.72727272727273</v>
      </c>
      <c r="E106" s="1643"/>
      <c r="F106" s="46">
        <f>IF(COUNTIF(B99:C107,""),"",+ABS(D106-E105)/E105)</f>
        <v>7.4270557029177717E-2</v>
      </c>
      <c r="G106" s="465" t="str">
        <f>IF(COUNTIF(B99:C107,""),"",IF($B$13="DR",IF(F106&lt;=0.06,"X",""),IF(F106&lt;=0.15,"X","")))</f>
        <v/>
      </c>
      <c r="H106" s="465" t="str">
        <f>IF(COUNTIF(B99:C107,""),"",IF($B$13="DR",IF(F106&gt;0.06,"X",""),IF(F106&gt;0.15,"X","")))</f>
        <v>X</v>
      </c>
      <c r="I106" s="5">
        <f t="shared" si="16"/>
        <v>1</v>
      </c>
      <c r="J106" s="916"/>
      <c r="K106" s="916"/>
      <c r="L106" s="916"/>
      <c r="M106" s="929"/>
      <c r="N106" s="916"/>
      <c r="O106" s="916"/>
      <c r="P106" s="916"/>
      <c r="Q106" s="916"/>
      <c r="R106" s="916"/>
    </row>
    <row r="107" spans="1:18" ht="13.8" x14ac:dyDescent="0.3">
      <c r="A107" s="180">
        <v>9</v>
      </c>
      <c r="B107" s="196">
        <v>1300</v>
      </c>
      <c r="C107" s="188">
        <v>10</v>
      </c>
      <c r="D107" s="464">
        <f>IF(COUNTIF(B99:C107,""),"",B107/C107)</f>
        <v>130</v>
      </c>
      <c r="E107" s="1644"/>
      <c r="F107" s="46">
        <f>IF(COUNTIF(B99:C107,""),"",+ABS(D107-E105)/E105)</f>
        <v>0.13793103448275856</v>
      </c>
      <c r="G107" s="465" t="str">
        <f>IF(COUNTIF(B99:C107,""),"",IF($B$13="DR",IF(F107&lt;=0.06,"X",""),IF(F107&lt;=0.15,"X","")))</f>
        <v/>
      </c>
      <c r="H107" s="465" t="str">
        <f>IF(COUNTIF(B99:C107,""),"",IF($B$13="DR",IF(F107&gt;0.06,"X",""),IF(F107&gt;0.15,"X","")))</f>
        <v>X</v>
      </c>
      <c r="I107" s="5">
        <f t="shared" si="16"/>
        <v>1</v>
      </c>
      <c r="J107" s="916"/>
      <c r="K107" s="916"/>
      <c r="L107" s="916"/>
      <c r="M107" s="929"/>
      <c r="N107" s="916"/>
      <c r="O107" s="916"/>
      <c r="P107" s="916"/>
      <c r="Q107" s="916"/>
      <c r="R107" s="916"/>
    </row>
    <row r="108" spans="1:18" ht="13.8" x14ac:dyDescent="0.3">
      <c r="F108" s="877"/>
      <c r="J108" s="916"/>
      <c r="K108" s="916"/>
      <c r="L108" s="916"/>
      <c r="M108" s="929"/>
      <c r="N108" s="916"/>
      <c r="O108" s="916"/>
      <c r="P108" s="916"/>
      <c r="Q108" s="916"/>
      <c r="R108" s="916"/>
    </row>
    <row r="109" spans="1:18" ht="13.8" x14ac:dyDescent="0.3">
      <c r="A109" s="563" t="s">
        <v>805</v>
      </c>
      <c r="B109" s="192" t="s">
        <v>653</v>
      </c>
      <c r="C109" s="563" t="s">
        <v>585</v>
      </c>
      <c r="D109" s="192">
        <v>70</v>
      </c>
      <c r="E109" s="191" t="s">
        <v>142</v>
      </c>
      <c r="F109" s="878"/>
      <c r="G109" s="176"/>
      <c r="H109" s="176"/>
      <c r="J109" s="916"/>
      <c r="K109" s="916"/>
      <c r="L109" s="916"/>
      <c r="M109" s="929"/>
      <c r="N109" s="916"/>
      <c r="O109" s="916"/>
      <c r="P109" s="916"/>
      <c r="Q109" s="916"/>
      <c r="R109" s="916"/>
    </row>
    <row r="110" spans="1:18" ht="13.8" x14ac:dyDescent="0.3">
      <c r="A110" s="549" t="s">
        <v>144</v>
      </c>
      <c r="B110" s="457" t="s">
        <v>161</v>
      </c>
      <c r="C110" s="457" t="s">
        <v>145</v>
      </c>
      <c r="D110" s="548" t="s">
        <v>146</v>
      </c>
      <c r="E110" s="1640" t="s">
        <v>147</v>
      </c>
      <c r="F110" s="879" t="s">
        <v>148</v>
      </c>
      <c r="G110" s="1518" t="s">
        <v>15</v>
      </c>
      <c r="H110" s="1518"/>
      <c r="I110" s="495"/>
      <c r="J110" s="916"/>
      <c r="K110" s="916"/>
      <c r="L110" s="916"/>
      <c r="M110" s="929"/>
      <c r="N110" s="916"/>
      <c r="O110" s="916"/>
      <c r="P110" s="916"/>
      <c r="Q110" s="916"/>
      <c r="R110" s="916"/>
    </row>
    <row r="111" spans="1:18" ht="13.8" x14ac:dyDescent="0.3">
      <c r="A111" s="459" t="s">
        <v>149</v>
      </c>
      <c r="B111" s="460" t="s">
        <v>150</v>
      </c>
      <c r="C111" s="461" t="s">
        <v>156</v>
      </c>
      <c r="D111" s="462" t="s">
        <v>157</v>
      </c>
      <c r="E111" s="1641"/>
      <c r="F111" s="880" t="s">
        <v>152</v>
      </c>
      <c r="G111" s="534" t="s">
        <v>16</v>
      </c>
      <c r="H111" s="534" t="s">
        <v>17</v>
      </c>
      <c r="I111" s="495"/>
      <c r="J111" s="916"/>
      <c r="K111" s="916"/>
      <c r="L111" s="916"/>
      <c r="M111" s="929"/>
      <c r="N111" s="916"/>
      <c r="O111" s="916"/>
      <c r="P111" s="916"/>
      <c r="Q111" s="916"/>
      <c r="R111" s="916"/>
    </row>
    <row r="112" spans="1:18" ht="13.8" x14ac:dyDescent="0.3">
      <c r="A112" s="198">
        <v>1</v>
      </c>
      <c r="B112" s="193">
        <v>703</v>
      </c>
      <c r="C112" s="188">
        <v>11</v>
      </c>
      <c r="D112" s="464">
        <f>IF(COUNTIF(B112:C120,""),"",B112/C112)</f>
        <v>63.909090909090907</v>
      </c>
      <c r="E112" s="1642">
        <f>IF(COUNTIF(B112:C120,""),"",AVERAGE(D112:D114))</f>
        <v>75.090909090909079</v>
      </c>
      <c r="F112" s="46">
        <f>IF(COUNTIF(B112:C120,""),"",+ABS(D112-E112)/E112)</f>
        <v>0.14891041162227595</v>
      </c>
      <c r="G112" s="465" t="str">
        <f>IF(COUNTIF(B112:C120,""),"",IF($B$13="DR",IF(F112&lt;=0.06,"X",""),IF(F112&lt;=0.15,"X","")))</f>
        <v/>
      </c>
      <c r="H112" s="465" t="str">
        <f>IF(COUNTIF(B112:C120,""),"",IF($B$13="DR",IF(F112&gt;0.06,"X",""),IF(F112&gt;0.15,"X","")))</f>
        <v>X</v>
      </c>
      <c r="I112" s="5">
        <f t="shared" ref="I112:I120" si="17">COUNTIF(H112,"X")</f>
        <v>1</v>
      </c>
      <c r="J112" s="916"/>
      <c r="K112" s="916"/>
      <c r="L112" s="916"/>
      <c r="M112" s="929"/>
      <c r="N112" s="916"/>
      <c r="O112" s="916"/>
      <c r="P112" s="916"/>
      <c r="Q112" s="916"/>
      <c r="R112" s="916"/>
    </row>
    <row r="113" spans="1:18" ht="13.8" x14ac:dyDescent="0.3">
      <c r="A113" s="199">
        <v>2</v>
      </c>
      <c r="B113" s="193">
        <v>750</v>
      </c>
      <c r="C113" s="188">
        <v>10</v>
      </c>
      <c r="D113" s="464">
        <f>IF(COUNTIF(B112:C120,""),"",B113/C113)</f>
        <v>75</v>
      </c>
      <c r="E113" s="1643"/>
      <c r="F113" s="46">
        <f>IF(COUNTIF(B112:C120,""),"",+ABS(D113-E112)/E112)</f>
        <v>1.2106537530264798E-3</v>
      </c>
      <c r="G113" s="465" t="str">
        <f>IF(COUNTIF(B112:C120,""),"",IF($B$13="DR",IF(F113&lt;=0.06,"X",""),IF(F113&lt;=0.15,"X","")))</f>
        <v>X</v>
      </c>
      <c r="H113" s="465" t="str">
        <f>IF(COUNTIF(B112:C120,""),"",IF($B$13="DR",IF(F113&gt;0.06,"X",""),IF(F113&gt;0.15,"X","")))</f>
        <v/>
      </c>
      <c r="I113" s="5">
        <f t="shared" si="17"/>
        <v>0</v>
      </c>
      <c r="J113" s="916"/>
      <c r="K113" s="916"/>
      <c r="L113" s="916"/>
      <c r="M113" s="929"/>
      <c r="N113" s="916"/>
      <c r="O113" s="916"/>
      <c r="P113" s="916"/>
      <c r="Q113" s="916"/>
      <c r="R113" s="916"/>
    </row>
    <row r="114" spans="1:18" ht="13.8" x14ac:dyDescent="0.3">
      <c r="A114" s="199">
        <v>3</v>
      </c>
      <c r="B114" s="193">
        <v>950</v>
      </c>
      <c r="C114" s="188">
        <v>11</v>
      </c>
      <c r="D114" s="464">
        <f>IF(COUNTIF(B112:C120,""),"",B114/C114)</f>
        <v>86.36363636363636</v>
      </c>
      <c r="E114" s="1644"/>
      <c r="F114" s="46">
        <f>IF(COUNTIF(B112:C120,""),"",+ABS(D114-E112)/E112)</f>
        <v>0.15012106537530279</v>
      </c>
      <c r="G114" s="465" t="str">
        <f>IF(COUNTIF(B112:C120,""),"",IF($B$13="DR",IF(F114&lt;=0.06,"X",""),IF(F114&lt;=0.15,"X","")))</f>
        <v/>
      </c>
      <c r="H114" s="465" t="str">
        <f>IF(COUNTIF(B112:C120,""),"",IF($B$13="DR",IF(F114&gt;0.06,"X",""),IF(F114&gt;0.15,"X","")))</f>
        <v>X</v>
      </c>
      <c r="I114" s="5">
        <f t="shared" si="17"/>
        <v>1</v>
      </c>
      <c r="J114" s="916"/>
      <c r="K114" s="916"/>
      <c r="L114" s="916"/>
      <c r="M114" s="929"/>
      <c r="N114" s="916"/>
      <c r="O114" s="916"/>
      <c r="P114" s="916"/>
      <c r="Q114" s="916"/>
      <c r="R114" s="916"/>
    </row>
    <row r="115" spans="1:18" ht="13.8" x14ac:dyDescent="0.3">
      <c r="A115" s="199">
        <v>4</v>
      </c>
      <c r="B115" s="195">
        <v>1300</v>
      </c>
      <c r="C115" s="188">
        <v>10</v>
      </c>
      <c r="D115" s="464">
        <f>IF(COUNTIF(B112:C120,""),"",B115/C115)</f>
        <v>130</v>
      </c>
      <c r="E115" s="1642">
        <f>IF(COUNTIF(B112:C120,""),"",AVERAGE(D115:D117))</f>
        <v>135.15151515151516</v>
      </c>
      <c r="F115" s="46">
        <f>IF(COUNTIF(B112:C120,""),"",+ABS(D115-E115)/E115)</f>
        <v>3.8116591928251155E-2</v>
      </c>
      <c r="G115" s="465" t="str">
        <f>IF(COUNTIF(B112:C120,""),"",IF($B$13="DR",IF(F115&lt;=0.06,"X",""),IF(F115&lt;=0.15,"X","")))</f>
        <v>X</v>
      </c>
      <c r="H115" s="465" t="str">
        <f>IF(COUNTIF(B112:C120,""),"",IF($B$13="DR",IF(F115&gt;0.06,"X",""),IF(F115&gt;0.15,"X","")))</f>
        <v/>
      </c>
      <c r="I115" s="5">
        <f t="shared" si="17"/>
        <v>0</v>
      </c>
      <c r="J115" s="916"/>
      <c r="K115" s="916"/>
      <c r="L115" s="916"/>
      <c r="M115" s="929"/>
      <c r="N115" s="916"/>
      <c r="O115" s="916"/>
      <c r="P115" s="916"/>
      <c r="Q115" s="916"/>
      <c r="R115" s="916"/>
    </row>
    <row r="116" spans="1:18" ht="13.8" x14ac:dyDescent="0.3">
      <c r="A116" s="200">
        <v>5</v>
      </c>
      <c r="B116" s="196">
        <v>1600</v>
      </c>
      <c r="C116" s="188">
        <v>11</v>
      </c>
      <c r="D116" s="464">
        <f>IF(COUNTIF(B112:C120,""),"",B116/C116)</f>
        <v>145.45454545454547</v>
      </c>
      <c r="E116" s="1643"/>
      <c r="F116" s="46">
        <f>IF(COUNTIF(B112:C120,""),"",+ABS(D116-E115)/E115)</f>
        <v>7.623318385650231E-2</v>
      </c>
      <c r="G116" s="465" t="str">
        <f>IF(COUNTIF(B112:C120,""),"",IF($B$13="DR",IF(F116&lt;=0.06,"X",""),IF(F116&lt;=0.15,"X","")))</f>
        <v/>
      </c>
      <c r="H116" s="465" t="str">
        <f>IF(COUNTIF(B112:C120,""),"",IF($B$13="DR",IF(F116&gt;0.06,"X",""),IF(F116&gt;0.15,"X","")))</f>
        <v>X</v>
      </c>
      <c r="I116" s="5">
        <f t="shared" si="17"/>
        <v>1</v>
      </c>
      <c r="J116" s="916"/>
      <c r="K116" s="916"/>
      <c r="L116" s="916" t="str">
        <f>B109</f>
        <v>cass#5</v>
      </c>
      <c r="M116" s="928" t="str">
        <f>E109</f>
        <v>18x24</v>
      </c>
      <c r="N116" s="927">
        <f>B116</f>
        <v>1600</v>
      </c>
      <c r="O116" s="927">
        <f>C116</f>
        <v>11</v>
      </c>
      <c r="P116" s="916"/>
      <c r="Q116" s="927">
        <f>D109</f>
        <v>70</v>
      </c>
      <c r="R116" s="916"/>
    </row>
    <row r="117" spans="1:18" ht="13.8" x14ac:dyDescent="0.3">
      <c r="A117" s="199">
        <v>6</v>
      </c>
      <c r="B117" s="196">
        <v>1300</v>
      </c>
      <c r="C117" s="188">
        <v>10</v>
      </c>
      <c r="D117" s="464">
        <f>IF(COUNTIF(B112:C120,""),"",B117/C117)</f>
        <v>130</v>
      </c>
      <c r="E117" s="1644"/>
      <c r="F117" s="46">
        <f>IF(COUNTIF(B112:C120,""),"",+ABS(D117-E115)/E115)</f>
        <v>3.8116591928251155E-2</v>
      </c>
      <c r="G117" s="465" t="str">
        <f>IF(COUNTIF(B112:C120,""),"",IF($B$13="DR",IF(F117&lt;=0.06,"X",""),IF(F117&lt;=0.15,"X","")))</f>
        <v>X</v>
      </c>
      <c r="H117" s="465" t="str">
        <f>IF(COUNTIF(B112:C120,""),"",IF($B$13="DR",IF(F117&gt;0.06,"X",""),IF(F117&gt;0.15,"X","")))</f>
        <v/>
      </c>
      <c r="I117" s="5">
        <f t="shared" si="17"/>
        <v>0</v>
      </c>
      <c r="J117" s="916"/>
      <c r="K117" s="916"/>
      <c r="L117" s="916"/>
      <c r="M117" s="929"/>
      <c r="N117" s="916"/>
      <c r="O117" s="916"/>
      <c r="P117" s="916"/>
      <c r="Q117" s="916"/>
      <c r="R117" s="916"/>
    </row>
    <row r="118" spans="1:18" ht="13.8" x14ac:dyDescent="0.3">
      <c r="A118" s="200">
        <v>7</v>
      </c>
      <c r="B118" s="196">
        <v>900</v>
      </c>
      <c r="C118" s="188">
        <v>10</v>
      </c>
      <c r="D118" s="464">
        <f>IF(COUNTIF(B112:C120,""),"",B118/C118)</f>
        <v>90</v>
      </c>
      <c r="E118" s="1642">
        <f>IF(COUNTIF(B112:C120,""),"",AVERAGE(D118:D120))</f>
        <v>114.24242424242425</v>
      </c>
      <c r="F118" s="46">
        <f>IF(COUNTIF(B112:C120,""),"",+ABS(D118-E118)/E118)</f>
        <v>0.21220159151193638</v>
      </c>
      <c r="G118" s="465" t="str">
        <f>IF(COUNTIF(B112:C120,""),"",IF($B$13="DR",IF(F118&lt;=0.06,"X",""),IF(F118&lt;=0.15,"X","")))</f>
        <v/>
      </c>
      <c r="H118" s="465" t="str">
        <f>IF(COUNTIF(B112:C120,""),"",IF($B$13="DR",IF(F118&gt;0.06,"X",""),IF(F118&gt;0.15,"X","")))</f>
        <v>X</v>
      </c>
      <c r="I118" s="5">
        <f t="shared" si="17"/>
        <v>1</v>
      </c>
      <c r="J118" s="916"/>
      <c r="K118" s="916"/>
      <c r="L118" s="916"/>
      <c r="M118" s="929"/>
      <c r="N118" s="916"/>
      <c r="O118" s="916"/>
      <c r="P118" s="916"/>
      <c r="Q118" s="916"/>
      <c r="R118" s="916"/>
    </row>
    <row r="119" spans="1:18" ht="13.8" x14ac:dyDescent="0.3">
      <c r="A119" s="201">
        <v>8</v>
      </c>
      <c r="B119" s="196">
        <v>1350</v>
      </c>
      <c r="C119" s="188">
        <v>11</v>
      </c>
      <c r="D119" s="464">
        <f>IF(COUNTIF(B112:C120,""),"",B119/C119)</f>
        <v>122.72727272727273</v>
      </c>
      <c r="E119" s="1643"/>
      <c r="F119" s="46">
        <f>IF(COUNTIF(B112:C120,""),"",+ABS(D119-E118)/E118)</f>
        <v>7.4270557029177717E-2</v>
      </c>
      <c r="G119" s="465" t="str">
        <f>IF(COUNTIF(B112:C120,""),"",IF($B$13="DR",IF(F119&lt;=0.06,"X",""),IF(F119&lt;=0.15,"X","")))</f>
        <v/>
      </c>
      <c r="H119" s="465" t="str">
        <f>IF(COUNTIF(B112:C120,""),"",IF($B$13="DR",IF(F119&gt;0.06,"X",""),IF(F119&gt;0.15,"X","")))</f>
        <v>X</v>
      </c>
      <c r="I119" s="5">
        <f t="shared" si="17"/>
        <v>1</v>
      </c>
      <c r="J119" s="916"/>
      <c r="K119" s="916"/>
      <c r="L119" s="916"/>
      <c r="M119" s="929"/>
      <c r="N119" s="916"/>
      <c r="O119" s="916"/>
      <c r="P119" s="916"/>
      <c r="Q119" s="916"/>
      <c r="R119" s="916"/>
    </row>
    <row r="120" spans="1:18" ht="13.8" x14ac:dyDescent="0.3">
      <c r="A120" s="180">
        <v>9</v>
      </c>
      <c r="B120" s="196">
        <v>1300</v>
      </c>
      <c r="C120" s="188">
        <v>10</v>
      </c>
      <c r="D120" s="464">
        <f>IF(COUNTIF(B112:C120,""),"",B120/C120)</f>
        <v>130</v>
      </c>
      <c r="E120" s="1644"/>
      <c r="F120" s="46">
        <f>IF(COUNTIF(B112:C120,""),"",+ABS(D120-E118)/E118)</f>
        <v>0.13793103448275856</v>
      </c>
      <c r="G120" s="465" t="str">
        <f>IF(COUNTIF(B112:C120,""),"",IF($B$13="DR",IF(F120&lt;=0.06,"X",""),IF(F120&lt;=0.15,"X","")))</f>
        <v/>
      </c>
      <c r="H120" s="465" t="str">
        <f>IF(COUNTIF(B112:C120,""),"",IF($B$13="DR",IF(F120&gt;0.06,"X",""),IF(F120&gt;0.15,"X","")))</f>
        <v>X</v>
      </c>
      <c r="I120" s="5">
        <f t="shared" si="17"/>
        <v>1</v>
      </c>
      <c r="J120" s="916"/>
      <c r="K120" s="916"/>
      <c r="L120" s="916"/>
      <c r="M120" s="929"/>
      <c r="N120" s="916"/>
      <c r="O120" s="916"/>
      <c r="P120" s="916"/>
      <c r="Q120" s="916"/>
      <c r="R120" s="916"/>
    </row>
    <row r="121" spans="1:18" ht="13.8" x14ac:dyDescent="0.3">
      <c r="F121" s="877"/>
      <c r="J121" s="916"/>
      <c r="K121" s="916"/>
      <c r="L121" s="916"/>
      <c r="M121" s="929"/>
      <c r="N121" s="916"/>
      <c r="O121" s="916"/>
      <c r="P121" s="916"/>
      <c r="Q121" s="916"/>
      <c r="R121" s="916"/>
    </row>
    <row r="122" spans="1:18" ht="13.8" x14ac:dyDescent="0.3">
      <c r="A122" s="563" t="s">
        <v>805</v>
      </c>
      <c r="B122" s="192" t="s">
        <v>654</v>
      </c>
      <c r="C122" s="563" t="s">
        <v>585</v>
      </c>
      <c r="D122" s="192">
        <v>67</v>
      </c>
      <c r="E122" s="191"/>
      <c r="F122" s="878"/>
      <c r="G122" s="176"/>
      <c r="H122" s="176"/>
      <c r="J122" s="916"/>
      <c r="K122" s="916"/>
      <c r="L122" s="916"/>
      <c r="M122" s="929"/>
      <c r="N122" s="916"/>
      <c r="O122" s="916"/>
      <c r="P122" s="916"/>
      <c r="Q122" s="916"/>
      <c r="R122" s="916"/>
    </row>
    <row r="123" spans="1:18" ht="13.8" x14ac:dyDescent="0.3">
      <c r="A123" s="549" t="s">
        <v>144</v>
      </c>
      <c r="B123" s="457" t="s">
        <v>161</v>
      </c>
      <c r="C123" s="457" t="s">
        <v>145</v>
      </c>
      <c r="D123" s="548" t="s">
        <v>146</v>
      </c>
      <c r="E123" s="1640" t="s">
        <v>147</v>
      </c>
      <c r="F123" s="879" t="s">
        <v>148</v>
      </c>
      <c r="G123" s="1518" t="s">
        <v>15</v>
      </c>
      <c r="H123" s="1518"/>
      <c r="I123" s="495"/>
      <c r="J123" s="916"/>
      <c r="K123" s="916"/>
      <c r="L123" s="916"/>
      <c r="M123" s="929"/>
      <c r="N123" s="916"/>
      <c r="O123" s="916"/>
      <c r="P123" s="916"/>
      <c r="Q123" s="916"/>
      <c r="R123" s="916"/>
    </row>
    <row r="124" spans="1:18" ht="13.8" x14ac:dyDescent="0.3">
      <c r="A124" s="459" t="s">
        <v>149</v>
      </c>
      <c r="B124" s="460" t="s">
        <v>150</v>
      </c>
      <c r="C124" s="461" t="s">
        <v>156</v>
      </c>
      <c r="D124" s="462" t="s">
        <v>157</v>
      </c>
      <c r="E124" s="1641"/>
      <c r="F124" s="880" t="s">
        <v>152</v>
      </c>
      <c r="G124" s="534" t="s">
        <v>16</v>
      </c>
      <c r="H124" s="534" t="s">
        <v>17</v>
      </c>
      <c r="I124" s="495"/>
      <c r="J124" s="916"/>
      <c r="K124" s="916"/>
      <c r="L124" s="916"/>
      <c r="M124" s="929"/>
      <c r="N124" s="916"/>
      <c r="O124" s="916"/>
      <c r="P124" s="916"/>
      <c r="Q124" s="916"/>
      <c r="R124" s="916"/>
    </row>
    <row r="125" spans="1:18" ht="13.8" x14ac:dyDescent="0.3">
      <c r="A125" s="198">
        <v>1</v>
      </c>
      <c r="B125" s="193">
        <v>703</v>
      </c>
      <c r="C125" s="188"/>
      <c r="D125" s="464" t="str">
        <f>IF(COUNTIF(B125:C133,""),"",B125/C125)</f>
        <v/>
      </c>
      <c r="E125" s="1642" t="str">
        <f>IF(COUNTIF(B125:C133,""),"",AVERAGE(D125:D127))</f>
        <v/>
      </c>
      <c r="F125" s="46" t="str">
        <f>IF(COUNTIF(B125:C133,""),"",+ABS(D125-E125)/E125)</f>
        <v/>
      </c>
      <c r="G125" s="465" t="str">
        <f>IF(COUNTIF(B125:C133,""),"",IF($B$13="DR",IF(F125&lt;=0.06,"X",""),IF(F125&lt;=0.15,"X","")))</f>
        <v/>
      </c>
      <c r="H125" s="465" t="str">
        <f>IF(COUNTIF(B125:C133,""),"",IF($B$13="DR",IF(F125&gt;0.06,"X",""),IF(F125&gt;0.15,"X","")))</f>
        <v/>
      </c>
      <c r="I125" s="5">
        <f t="shared" ref="I125:I133" si="18">COUNTIF(H125,"X")</f>
        <v>0</v>
      </c>
      <c r="J125" s="916"/>
      <c r="K125" s="916"/>
      <c r="L125" s="916"/>
      <c r="M125" s="929"/>
      <c r="N125" s="916"/>
      <c r="O125" s="916"/>
      <c r="P125" s="916"/>
      <c r="Q125" s="916"/>
      <c r="R125" s="916"/>
    </row>
    <row r="126" spans="1:18" ht="13.8" x14ac:dyDescent="0.3">
      <c r="A126" s="199">
        <v>2</v>
      </c>
      <c r="B126" s="193">
        <v>750</v>
      </c>
      <c r="C126" s="188"/>
      <c r="D126" s="464" t="str">
        <f>IF(COUNTIF(B125:C133,""),"",B126/C126)</f>
        <v/>
      </c>
      <c r="E126" s="1643"/>
      <c r="F126" s="46" t="str">
        <f>IF(COUNTIF(B125:C133,""),"",+ABS(D126-E125)/E125)</f>
        <v/>
      </c>
      <c r="G126" s="465" t="str">
        <f>IF(COUNTIF(B125:C133,""),"",IF($B$13="DR",IF(F126&lt;=0.06,"X",""),IF(F126&lt;=0.15,"X","")))</f>
        <v/>
      </c>
      <c r="H126" s="465" t="str">
        <f>IF(COUNTIF(B125:C133,""),"",IF($B$13="DR",IF(F126&gt;0.06,"X",""),IF(F126&gt;0.15,"X","")))</f>
        <v/>
      </c>
      <c r="I126" s="5">
        <f t="shared" si="18"/>
        <v>0</v>
      </c>
      <c r="J126" s="916"/>
      <c r="K126" s="916"/>
      <c r="L126" s="916"/>
      <c r="M126" s="929"/>
      <c r="N126" s="916"/>
      <c r="O126" s="916"/>
      <c r="P126" s="916"/>
      <c r="Q126" s="916"/>
      <c r="R126" s="916"/>
    </row>
    <row r="127" spans="1:18" ht="13.8" x14ac:dyDescent="0.3">
      <c r="A127" s="199">
        <v>3</v>
      </c>
      <c r="B127" s="193">
        <v>950</v>
      </c>
      <c r="C127" s="188"/>
      <c r="D127" s="464" t="str">
        <f>IF(COUNTIF(B125:C133,""),"",B127/C127)</f>
        <v/>
      </c>
      <c r="E127" s="1644"/>
      <c r="F127" s="46" t="str">
        <f>IF(COUNTIF(B125:C133,""),"",+ABS(D127-E125)/E125)</f>
        <v/>
      </c>
      <c r="G127" s="465" t="str">
        <f>IF(COUNTIF(B125:C133,""),"",IF($B$13="DR",IF(F127&lt;=0.06,"X",""),IF(F127&lt;=0.15,"X","")))</f>
        <v/>
      </c>
      <c r="H127" s="465" t="str">
        <f>IF(COUNTIF(B125:C133,""),"",IF($B$13="DR",IF(F127&gt;0.06,"X",""),IF(F127&gt;0.15,"X","")))</f>
        <v/>
      </c>
      <c r="I127" s="5">
        <f t="shared" si="18"/>
        <v>0</v>
      </c>
      <c r="J127" s="916"/>
      <c r="K127" s="916"/>
      <c r="L127" s="916"/>
      <c r="M127" s="929"/>
      <c r="N127" s="916"/>
      <c r="O127" s="916"/>
      <c r="P127" s="916"/>
      <c r="Q127" s="916"/>
      <c r="R127" s="916"/>
    </row>
    <row r="128" spans="1:18" ht="13.8" x14ac:dyDescent="0.3">
      <c r="A128" s="199">
        <v>4</v>
      </c>
      <c r="B128" s="195">
        <v>1300</v>
      </c>
      <c r="C128" s="188"/>
      <c r="D128" s="464" t="str">
        <f>IF(COUNTIF(B125:C133,""),"",B128/C128)</f>
        <v/>
      </c>
      <c r="E128" s="1642" t="str">
        <f>IF(COUNTIF(B125:C133,""),"",AVERAGE(D128:D130))</f>
        <v/>
      </c>
      <c r="F128" s="46" t="str">
        <f>IF(COUNTIF(B125:C133,""),"",+ABS(D128-E128)/E128)</f>
        <v/>
      </c>
      <c r="G128" s="465" t="str">
        <f>IF(COUNTIF(B125:C133,""),"",IF($B$13="DR",IF(F128&lt;=0.06,"X",""),IF(F128&lt;=0.15,"X","")))</f>
        <v/>
      </c>
      <c r="H128" s="465" t="str">
        <f>IF(COUNTIF(B125:C133,""),"",IF($B$13="DR",IF(F128&gt;0.06,"X",""),IF(F128&gt;0.15,"X","")))</f>
        <v/>
      </c>
      <c r="I128" s="5">
        <f t="shared" si="18"/>
        <v>0</v>
      </c>
      <c r="J128" s="916"/>
      <c r="K128" s="916"/>
      <c r="L128" s="916"/>
      <c r="M128" s="929"/>
      <c r="N128" s="916"/>
      <c r="O128" s="916"/>
      <c r="P128" s="916"/>
      <c r="Q128" s="916"/>
      <c r="R128" s="916"/>
    </row>
    <row r="129" spans="1:18" ht="13.8" x14ac:dyDescent="0.3">
      <c r="A129" s="200">
        <v>5</v>
      </c>
      <c r="B129" s="196">
        <v>1500</v>
      </c>
      <c r="C129" s="188"/>
      <c r="D129" s="464" t="str">
        <f>IF(COUNTIF(B125:C133,""),"",B129/C129)</f>
        <v/>
      </c>
      <c r="E129" s="1643"/>
      <c r="F129" s="46" t="str">
        <f>IF(COUNTIF(B125:C133,""),"",+ABS(D129-E128)/E128)</f>
        <v/>
      </c>
      <c r="G129" s="465" t="str">
        <f>IF(COUNTIF(B125:C133,""),"",IF($B$13="DR",IF(F129&lt;=0.06,"X",""),IF(F129&lt;=0.15,"X","")))</f>
        <v/>
      </c>
      <c r="H129" s="465" t="str">
        <f>IF(COUNTIF(B125:C133,""),"",IF($B$13="DR",IF(F129&gt;0.06,"X",""),IF(F129&gt;0.15,"X","")))</f>
        <v/>
      </c>
      <c r="I129" s="5">
        <f t="shared" si="18"/>
        <v>0</v>
      </c>
      <c r="J129" s="916"/>
      <c r="K129" s="916"/>
      <c r="L129" s="916" t="str">
        <f>B122</f>
        <v>cass#6</v>
      </c>
      <c r="M129" s="928">
        <f>E122</f>
        <v>0</v>
      </c>
      <c r="N129" s="927">
        <f>B129</f>
        <v>1500</v>
      </c>
      <c r="O129" s="927">
        <f>C129</f>
        <v>0</v>
      </c>
      <c r="P129" s="916"/>
      <c r="Q129" s="927">
        <f>D122</f>
        <v>67</v>
      </c>
      <c r="R129" s="916"/>
    </row>
    <row r="130" spans="1:18" ht="13.8" x14ac:dyDescent="0.3">
      <c r="A130" s="199">
        <v>6</v>
      </c>
      <c r="B130" s="196">
        <v>1300</v>
      </c>
      <c r="C130" s="188"/>
      <c r="D130" s="464" t="str">
        <f>IF(COUNTIF(B125:C133,""),"",B130/C130)</f>
        <v/>
      </c>
      <c r="E130" s="1644"/>
      <c r="F130" s="46" t="str">
        <f>IF(COUNTIF(B125:C133,""),"",+ABS(D130-E128)/E128)</f>
        <v/>
      </c>
      <c r="G130" s="465" t="str">
        <f>IF(COUNTIF(B125:C133,""),"",IF($B$13="DR",IF(F130&lt;=0.06,"X",""),IF(F130&lt;=0.15,"X","")))</f>
        <v/>
      </c>
      <c r="H130" s="465" t="str">
        <f>IF(COUNTIF(B125:C133,""),"",IF($B$13="DR",IF(F130&gt;0.06,"X",""),IF(F130&gt;0.15,"X","")))</f>
        <v/>
      </c>
      <c r="I130" s="5">
        <f t="shared" si="18"/>
        <v>0</v>
      </c>
      <c r="J130" s="916"/>
      <c r="K130" s="916"/>
      <c r="L130" s="916"/>
      <c r="M130" s="929"/>
      <c r="N130" s="916"/>
      <c r="O130" s="916"/>
      <c r="P130" s="916"/>
      <c r="Q130" s="916"/>
      <c r="R130" s="916"/>
    </row>
    <row r="131" spans="1:18" ht="13.8" x14ac:dyDescent="0.3">
      <c r="A131" s="200">
        <v>7</v>
      </c>
      <c r="B131" s="196">
        <v>900</v>
      </c>
      <c r="C131" s="188"/>
      <c r="D131" s="464" t="str">
        <f>IF(COUNTIF(B125:C133,""),"",B131/C131)</f>
        <v/>
      </c>
      <c r="E131" s="1642" t="str">
        <f>IF(COUNTIF(B125:C133,""),"",AVERAGE(D131:D133))</f>
        <v/>
      </c>
      <c r="F131" s="46" t="str">
        <f>IF(COUNTIF(B125:C133,""),"",+ABS(D131-E131)/E131)</f>
        <v/>
      </c>
      <c r="G131" s="465" t="str">
        <f>IF(COUNTIF(B125:C133,""),"",IF($B$13="DR",IF(F131&lt;=0.06,"X",""),IF(F131&lt;=0.15,"X","")))</f>
        <v/>
      </c>
      <c r="H131" s="465" t="str">
        <f>IF(COUNTIF(B125:C133,""),"",IF($B$13="DR",IF(F131&gt;0.06,"X",""),IF(F131&gt;0.15,"X","")))</f>
        <v/>
      </c>
      <c r="I131" s="5">
        <f t="shared" si="18"/>
        <v>0</v>
      </c>
      <c r="J131" s="916"/>
      <c r="K131" s="916"/>
      <c r="L131" s="916"/>
      <c r="M131" s="929"/>
      <c r="N131" s="916"/>
      <c r="O131" s="916"/>
      <c r="P131" s="916"/>
      <c r="Q131" s="916"/>
      <c r="R131" s="916"/>
    </row>
    <row r="132" spans="1:18" ht="13.8" x14ac:dyDescent="0.3">
      <c r="A132" s="201">
        <v>8</v>
      </c>
      <c r="B132" s="196">
        <v>1350</v>
      </c>
      <c r="C132" s="188"/>
      <c r="D132" s="464" t="str">
        <f>IF(COUNTIF(B125:C133,""),"",B132/C132)</f>
        <v/>
      </c>
      <c r="E132" s="1643"/>
      <c r="F132" s="46" t="str">
        <f>IF(COUNTIF(B125:C133,""),"",+ABS(D132-E131)/E131)</f>
        <v/>
      </c>
      <c r="G132" s="465" t="str">
        <f>IF(COUNTIF(B125:C133,""),"",IF($B$13="DR",IF(F132&lt;=0.06,"X",""),IF(F132&lt;=0.15,"X","")))</f>
        <v/>
      </c>
      <c r="H132" s="465" t="str">
        <f>IF(COUNTIF(B125:C133,""),"",IF($B$13="DR",IF(F132&gt;0.06,"X",""),IF(F132&gt;0.15,"X","")))</f>
        <v/>
      </c>
      <c r="I132" s="5">
        <f t="shared" si="18"/>
        <v>0</v>
      </c>
      <c r="J132" s="916"/>
      <c r="K132" s="916"/>
      <c r="L132" s="916"/>
      <c r="M132" s="929"/>
      <c r="N132" s="916"/>
      <c r="O132" s="916"/>
      <c r="P132" s="916"/>
      <c r="Q132" s="916"/>
      <c r="R132" s="916"/>
    </row>
    <row r="133" spans="1:18" ht="13.8" x14ac:dyDescent="0.3">
      <c r="A133" s="180">
        <v>9</v>
      </c>
      <c r="B133" s="196">
        <v>1300</v>
      </c>
      <c r="C133" s="188"/>
      <c r="D133" s="464" t="str">
        <f>IF(COUNTIF(B125:C133,""),"",B133/C133)</f>
        <v/>
      </c>
      <c r="E133" s="1644"/>
      <c r="F133" s="46" t="str">
        <f>IF(COUNTIF(B125:C133,""),"",+ABS(D133-E131)/E131)</f>
        <v/>
      </c>
      <c r="G133" s="465" t="str">
        <f>IF(COUNTIF(B125:C133,""),"",IF($B$13="DR",IF(F133&lt;=0.06,"X",""),IF(F133&lt;=0.15,"X","")))</f>
        <v/>
      </c>
      <c r="H133" s="465" t="str">
        <f>IF(COUNTIF(B125:C133,""),"",IF($B$13="DR",IF(F133&gt;0.06,"X",""),IF(F133&gt;0.15,"X","")))</f>
        <v/>
      </c>
      <c r="I133" s="5">
        <f t="shared" si="18"/>
        <v>0</v>
      </c>
      <c r="J133" s="916"/>
      <c r="K133" s="916"/>
      <c r="L133" s="916"/>
      <c r="M133" s="929"/>
      <c r="N133" s="916"/>
      <c r="O133" s="916"/>
      <c r="P133" s="916"/>
      <c r="Q133" s="916"/>
      <c r="R133" s="916"/>
    </row>
    <row r="134" spans="1:18" ht="13.8" x14ac:dyDescent="0.3">
      <c r="F134" s="877"/>
      <c r="J134" s="916"/>
      <c r="K134" s="916"/>
      <c r="L134" s="916"/>
      <c r="M134" s="929"/>
      <c r="N134" s="916"/>
      <c r="O134" s="916"/>
      <c r="P134" s="916"/>
      <c r="Q134" s="916"/>
      <c r="R134" s="916"/>
    </row>
    <row r="135" spans="1:18" ht="13.8" x14ac:dyDescent="0.3">
      <c r="A135" s="563" t="s">
        <v>805</v>
      </c>
      <c r="B135" s="192" t="s">
        <v>655</v>
      </c>
      <c r="C135" s="563" t="s">
        <v>585</v>
      </c>
      <c r="D135" s="192">
        <v>68</v>
      </c>
      <c r="E135" s="191"/>
      <c r="F135" s="878"/>
      <c r="G135" s="176"/>
      <c r="H135" s="176"/>
      <c r="J135" s="916"/>
      <c r="K135" s="916"/>
      <c r="L135" s="916"/>
      <c r="M135" s="929"/>
      <c r="N135" s="916"/>
      <c r="O135" s="916"/>
      <c r="P135" s="916"/>
      <c r="Q135" s="916"/>
      <c r="R135" s="916"/>
    </row>
    <row r="136" spans="1:18" ht="13.8" x14ac:dyDescent="0.3">
      <c r="A136" s="549" t="s">
        <v>144</v>
      </c>
      <c r="B136" s="457" t="s">
        <v>161</v>
      </c>
      <c r="C136" s="457" t="s">
        <v>145</v>
      </c>
      <c r="D136" s="548" t="s">
        <v>146</v>
      </c>
      <c r="E136" s="1640" t="s">
        <v>147</v>
      </c>
      <c r="F136" s="879" t="s">
        <v>148</v>
      </c>
      <c r="G136" s="1518" t="s">
        <v>15</v>
      </c>
      <c r="H136" s="1518"/>
      <c r="I136" s="495"/>
      <c r="J136" s="916"/>
      <c r="K136" s="916"/>
      <c r="L136" s="916"/>
      <c r="M136" s="929"/>
      <c r="N136" s="916"/>
      <c r="O136" s="916"/>
      <c r="P136" s="916"/>
      <c r="Q136" s="916"/>
      <c r="R136" s="916"/>
    </row>
    <row r="137" spans="1:18" ht="13.8" x14ac:dyDescent="0.3">
      <c r="A137" s="459" t="s">
        <v>149</v>
      </c>
      <c r="B137" s="460" t="s">
        <v>150</v>
      </c>
      <c r="C137" s="461" t="s">
        <v>156</v>
      </c>
      <c r="D137" s="462" t="s">
        <v>157</v>
      </c>
      <c r="E137" s="1641"/>
      <c r="F137" s="880" t="s">
        <v>152</v>
      </c>
      <c r="G137" s="534" t="s">
        <v>16</v>
      </c>
      <c r="H137" s="534" t="s">
        <v>17</v>
      </c>
      <c r="I137" s="495"/>
      <c r="J137" s="916"/>
      <c r="K137" s="916"/>
      <c r="L137" s="916"/>
      <c r="M137" s="929"/>
      <c r="N137" s="916"/>
      <c r="O137" s="916"/>
      <c r="P137" s="916"/>
      <c r="Q137" s="916"/>
      <c r="R137" s="916"/>
    </row>
    <row r="138" spans="1:18" ht="13.8" x14ac:dyDescent="0.3">
      <c r="A138" s="198">
        <v>1</v>
      </c>
      <c r="B138" s="193">
        <v>703</v>
      </c>
      <c r="C138" s="188"/>
      <c r="D138" s="464" t="str">
        <f>IF(COUNTIF(B138:C146,""),"",B138/C138)</f>
        <v/>
      </c>
      <c r="E138" s="1642" t="str">
        <f>IF(COUNTIF(B138:C146,""),"",AVERAGE(D138:D140))</f>
        <v/>
      </c>
      <c r="F138" s="46" t="str">
        <f>IF(COUNTIF(B138:C146,""),"",+ABS(D138-E138)/E138)</f>
        <v/>
      </c>
      <c r="G138" s="465" t="str">
        <f>IF(COUNTIF(B138:C146,""),"",IF($B$13="DR",IF(F138&lt;=0.06,"X",""),IF(F138&lt;=0.15,"X","")))</f>
        <v/>
      </c>
      <c r="H138" s="465" t="str">
        <f>IF(COUNTIF(B138:C146,""),"",IF($B$13="DR",IF(F138&gt;0.06,"X",""),IF(F138&gt;0.15,"X","")))</f>
        <v/>
      </c>
      <c r="I138" s="5">
        <f t="shared" ref="I138:I146" si="19">COUNTIF(H138,"X")</f>
        <v>0</v>
      </c>
      <c r="J138" s="916"/>
      <c r="K138" s="916"/>
      <c r="L138" s="916"/>
      <c r="M138" s="929"/>
      <c r="N138" s="916"/>
      <c r="O138" s="916"/>
      <c r="P138" s="916"/>
      <c r="Q138" s="916"/>
      <c r="R138" s="916"/>
    </row>
    <row r="139" spans="1:18" ht="13.8" x14ac:dyDescent="0.3">
      <c r="A139" s="199">
        <v>2</v>
      </c>
      <c r="B139" s="193">
        <v>750</v>
      </c>
      <c r="C139" s="188"/>
      <c r="D139" s="464" t="str">
        <f>IF(COUNTIF(B138:C146,""),"",B139/C139)</f>
        <v/>
      </c>
      <c r="E139" s="1643"/>
      <c r="F139" s="46" t="str">
        <f>IF(COUNTIF(B138:C146,""),"",+ABS(D139-E138)/E138)</f>
        <v/>
      </c>
      <c r="G139" s="465" t="str">
        <f>IF(COUNTIF(B138:C146,""),"",IF($B$13="DR",IF(F139&lt;=0.06,"X",""),IF(F139&lt;=0.15,"X","")))</f>
        <v/>
      </c>
      <c r="H139" s="465" t="str">
        <f>IF(COUNTIF(B138:C146,""),"",IF($B$13="DR",IF(F139&gt;0.06,"X",""),IF(F139&gt;0.15,"X","")))</f>
        <v/>
      </c>
      <c r="I139" s="5">
        <f t="shared" si="19"/>
        <v>0</v>
      </c>
      <c r="J139" s="916"/>
      <c r="K139" s="916"/>
      <c r="L139" s="916"/>
      <c r="M139" s="929"/>
      <c r="N139" s="916"/>
      <c r="O139" s="916"/>
      <c r="P139" s="916"/>
      <c r="Q139" s="916"/>
      <c r="R139" s="916"/>
    </row>
    <row r="140" spans="1:18" ht="13.8" x14ac:dyDescent="0.3">
      <c r="A140" s="199">
        <v>3</v>
      </c>
      <c r="B140" s="193">
        <v>950</v>
      </c>
      <c r="C140" s="188"/>
      <c r="D140" s="464" t="str">
        <f>IF(COUNTIF(B138:C146,""),"",B140/C140)</f>
        <v/>
      </c>
      <c r="E140" s="1644"/>
      <c r="F140" s="46" t="str">
        <f>IF(COUNTIF(B138:C146,""),"",+ABS(D140-E138)/E138)</f>
        <v/>
      </c>
      <c r="G140" s="465" t="str">
        <f>IF(COUNTIF(B138:C146,""),"",IF($B$13="DR",IF(F140&lt;=0.06,"X",""),IF(F140&lt;=0.15,"X","")))</f>
        <v/>
      </c>
      <c r="H140" s="465" t="str">
        <f>IF(COUNTIF(B138:C146,""),"",IF($B$13="DR",IF(F140&gt;0.06,"X",""),IF(F140&gt;0.15,"X","")))</f>
        <v/>
      </c>
      <c r="I140" s="5">
        <f t="shared" si="19"/>
        <v>0</v>
      </c>
      <c r="J140" s="916"/>
      <c r="K140" s="916"/>
      <c r="L140" s="916"/>
      <c r="M140" s="929"/>
      <c r="N140" s="916"/>
      <c r="O140" s="916"/>
      <c r="P140" s="916"/>
      <c r="Q140" s="916"/>
      <c r="R140" s="916"/>
    </row>
    <row r="141" spans="1:18" ht="13.8" x14ac:dyDescent="0.3">
      <c r="A141" s="199">
        <v>4</v>
      </c>
      <c r="B141" s="195">
        <v>1300</v>
      </c>
      <c r="C141" s="188"/>
      <c r="D141" s="464" t="str">
        <f>IF(COUNTIF(B138:C146,""),"",B141/C141)</f>
        <v/>
      </c>
      <c r="E141" s="1642" t="str">
        <f>IF(COUNTIF(B138:C146,""),"",AVERAGE(D141:D143))</f>
        <v/>
      </c>
      <c r="F141" s="46" t="str">
        <f>IF(COUNTIF(B138:C146,""),"",+ABS(D141-E141)/E141)</f>
        <v/>
      </c>
      <c r="G141" s="465" t="str">
        <f>IF(COUNTIF(B138:C146,""),"",IF($B$13="DR",IF(F141&lt;=0.06,"X",""),IF(F141&lt;=0.15,"X","")))</f>
        <v/>
      </c>
      <c r="H141" s="465" t="str">
        <f>IF(COUNTIF(B138:C146,""),"",IF($B$13="DR",IF(F141&gt;0.06,"X",""),IF(F141&gt;0.15,"X","")))</f>
        <v/>
      </c>
      <c r="I141" s="5">
        <f t="shared" si="19"/>
        <v>0</v>
      </c>
      <c r="J141" s="916"/>
      <c r="K141" s="916"/>
      <c r="L141" s="916"/>
      <c r="M141" s="929"/>
      <c r="N141" s="916"/>
      <c r="O141" s="916"/>
      <c r="P141" s="916"/>
      <c r="Q141" s="916"/>
      <c r="R141" s="916"/>
    </row>
    <row r="142" spans="1:18" ht="13.8" x14ac:dyDescent="0.3">
      <c r="A142" s="200">
        <v>5</v>
      </c>
      <c r="B142" s="196">
        <v>1600</v>
      </c>
      <c r="C142" s="188"/>
      <c r="D142" s="464" t="str">
        <f>IF(COUNTIF(B138:C146,""),"",B142/C142)</f>
        <v/>
      </c>
      <c r="E142" s="1643"/>
      <c r="F142" s="46" t="str">
        <f>IF(COUNTIF(B138:C146,""),"",+ABS(D142-E141)/E141)</f>
        <v/>
      </c>
      <c r="G142" s="465" t="str">
        <f>IF(COUNTIF(B138:C146,""),"",IF($B$13="DR",IF(F142&lt;=0.06,"X",""),IF(F142&lt;=0.15,"X","")))</f>
        <v/>
      </c>
      <c r="H142" s="465" t="str">
        <f>IF(COUNTIF(B138:C146,""),"",IF($B$13="DR",IF(F142&gt;0.06,"X",""),IF(F142&gt;0.15,"X","")))</f>
        <v/>
      </c>
      <c r="I142" s="5">
        <f t="shared" si="19"/>
        <v>0</v>
      </c>
      <c r="J142" s="916"/>
      <c r="K142" s="916"/>
      <c r="L142" s="916" t="str">
        <f>B135</f>
        <v>cass#7</v>
      </c>
      <c r="M142" s="928">
        <f>E135</f>
        <v>0</v>
      </c>
      <c r="N142" s="927">
        <f>B142</f>
        <v>1600</v>
      </c>
      <c r="O142" s="927">
        <f>C142</f>
        <v>0</v>
      </c>
      <c r="P142" s="916"/>
      <c r="Q142" s="927">
        <f>D135</f>
        <v>68</v>
      </c>
      <c r="R142" s="916"/>
    </row>
    <row r="143" spans="1:18" ht="13.8" x14ac:dyDescent="0.3">
      <c r="A143" s="199">
        <v>6</v>
      </c>
      <c r="B143" s="196">
        <v>1300</v>
      </c>
      <c r="C143" s="188"/>
      <c r="D143" s="464" t="str">
        <f>IF(COUNTIF(B138:C146,""),"",B143/C143)</f>
        <v/>
      </c>
      <c r="E143" s="1644"/>
      <c r="F143" s="46" t="str">
        <f>IF(COUNTIF(B138:C146,""),"",+ABS(D143-E141)/E141)</f>
        <v/>
      </c>
      <c r="G143" s="465" t="str">
        <f>IF(COUNTIF(B138:C146,""),"",IF($B$13="DR",IF(F143&lt;=0.06,"X",""),IF(F143&lt;=0.15,"X","")))</f>
        <v/>
      </c>
      <c r="H143" s="465" t="str">
        <f>IF(COUNTIF(B138:C146,""),"",IF($B$13="DR",IF(F143&gt;0.06,"X",""),IF(F143&gt;0.15,"X","")))</f>
        <v/>
      </c>
      <c r="I143" s="5">
        <f t="shared" si="19"/>
        <v>0</v>
      </c>
      <c r="J143" s="916"/>
      <c r="K143" s="916"/>
      <c r="L143" s="916"/>
      <c r="M143" s="929"/>
      <c r="N143" s="916"/>
      <c r="O143" s="916"/>
      <c r="P143" s="916"/>
      <c r="Q143" s="916"/>
      <c r="R143" s="916"/>
    </row>
    <row r="144" spans="1:18" ht="13.8" x14ac:dyDescent="0.3">
      <c r="A144" s="200">
        <v>7</v>
      </c>
      <c r="B144" s="196">
        <v>900</v>
      </c>
      <c r="C144" s="188"/>
      <c r="D144" s="464" t="str">
        <f>IF(COUNTIF(B138:C146,""),"",B144/C144)</f>
        <v/>
      </c>
      <c r="E144" s="1642" t="str">
        <f>IF(COUNTIF(B138:C146,""),"",AVERAGE(D144:D146))</f>
        <v/>
      </c>
      <c r="F144" s="46" t="str">
        <f>IF(COUNTIF(B138:C146,""),"",+ABS(D144-E144)/E144)</f>
        <v/>
      </c>
      <c r="G144" s="465" t="str">
        <f>IF(COUNTIF(B138:C146,""),"",IF($B$13="DR",IF(F144&lt;=0.06,"X",""),IF(F144&lt;=0.15,"X","")))</f>
        <v/>
      </c>
      <c r="H144" s="465" t="str">
        <f>IF(COUNTIF(B138:C146,""),"",IF($B$13="DR",IF(F144&gt;0.06,"X",""),IF(F144&gt;0.15,"X","")))</f>
        <v/>
      </c>
      <c r="I144" s="5">
        <f t="shared" si="19"/>
        <v>0</v>
      </c>
      <c r="J144" s="916"/>
      <c r="K144" s="916"/>
      <c r="L144" s="916"/>
      <c r="M144" s="929"/>
      <c r="N144" s="916"/>
      <c r="O144" s="916"/>
      <c r="P144" s="916"/>
      <c r="Q144" s="916"/>
      <c r="R144" s="916"/>
    </row>
    <row r="145" spans="1:18" ht="13.8" x14ac:dyDescent="0.3">
      <c r="A145" s="201">
        <v>8</v>
      </c>
      <c r="B145" s="196">
        <v>1350</v>
      </c>
      <c r="C145" s="188"/>
      <c r="D145" s="464" t="str">
        <f>IF(COUNTIF(B138:C146,""),"",B145/C145)</f>
        <v/>
      </c>
      <c r="E145" s="1643"/>
      <c r="F145" s="46" t="str">
        <f>IF(COUNTIF(B138:C146,""),"",+ABS(D145-E144)/E144)</f>
        <v/>
      </c>
      <c r="G145" s="465" t="str">
        <f>IF(COUNTIF(B138:C146,""),"",IF($B$13="DR",IF(F145&lt;=0.06,"X",""),IF(F145&lt;=0.15,"X","")))</f>
        <v/>
      </c>
      <c r="H145" s="465" t="str">
        <f>IF(COUNTIF(B138:C146,""),"",IF($B$13="DR",IF(F145&gt;0.06,"X",""),IF(F145&gt;0.15,"X","")))</f>
        <v/>
      </c>
      <c r="I145" s="5">
        <f t="shared" si="19"/>
        <v>0</v>
      </c>
      <c r="J145" s="916"/>
      <c r="K145" s="916"/>
      <c r="L145" s="916"/>
      <c r="M145" s="929"/>
      <c r="N145" s="916"/>
      <c r="O145" s="916"/>
      <c r="P145" s="916"/>
      <c r="Q145" s="916"/>
      <c r="R145" s="916"/>
    </row>
    <row r="146" spans="1:18" ht="13.8" x14ac:dyDescent="0.3">
      <c r="A146" s="180">
        <v>9</v>
      </c>
      <c r="B146" s="196">
        <v>1300</v>
      </c>
      <c r="C146" s="188"/>
      <c r="D146" s="464" t="str">
        <f>IF(COUNTIF(B138:C146,""),"",B146/C146)</f>
        <v/>
      </c>
      <c r="E146" s="1644"/>
      <c r="F146" s="46" t="str">
        <f>IF(COUNTIF(B138:C146,""),"",+ABS(D146-E144)/E144)</f>
        <v/>
      </c>
      <c r="G146" s="465" t="str">
        <f>IF(COUNTIF(B138:C146,""),"",IF($B$13="DR",IF(F146&lt;=0.06,"X",""),IF(F146&lt;=0.15,"X","")))</f>
        <v/>
      </c>
      <c r="H146" s="465" t="str">
        <f>IF(COUNTIF(B138:C146,""),"",IF($B$13="DR",IF(F146&gt;0.06,"X",""),IF(F146&gt;0.15,"X","")))</f>
        <v/>
      </c>
      <c r="I146" s="5">
        <f t="shared" si="19"/>
        <v>0</v>
      </c>
      <c r="J146" s="916"/>
      <c r="K146" s="916"/>
      <c r="L146" s="916"/>
      <c r="M146" s="929"/>
      <c r="N146" s="916"/>
      <c r="O146" s="916"/>
      <c r="P146" s="916"/>
      <c r="Q146" s="916"/>
      <c r="R146" s="916"/>
    </row>
    <row r="147" spans="1:18" ht="13.8" x14ac:dyDescent="0.3">
      <c r="F147" s="877"/>
      <c r="J147" s="916"/>
      <c r="K147" s="916"/>
      <c r="L147" s="916"/>
      <c r="M147" s="929"/>
      <c r="N147" s="916"/>
      <c r="O147" s="916"/>
      <c r="P147" s="916"/>
      <c r="Q147" s="916"/>
      <c r="R147" s="916"/>
    </row>
    <row r="148" spans="1:18" ht="13.8" x14ac:dyDescent="0.3">
      <c r="A148" s="563" t="s">
        <v>805</v>
      </c>
      <c r="B148" s="192" t="s">
        <v>656</v>
      </c>
      <c r="C148" s="563" t="s">
        <v>585</v>
      </c>
      <c r="D148" s="192">
        <v>72</v>
      </c>
      <c r="E148" s="191"/>
      <c r="F148" s="878"/>
      <c r="G148" s="176"/>
      <c r="H148" s="176"/>
      <c r="J148" s="916"/>
      <c r="K148" s="916"/>
      <c r="L148" s="916"/>
      <c r="M148" s="929"/>
      <c r="N148" s="916"/>
      <c r="O148" s="916"/>
      <c r="P148" s="916"/>
      <c r="Q148" s="916"/>
      <c r="R148" s="916"/>
    </row>
    <row r="149" spans="1:18" ht="13.8" x14ac:dyDescent="0.3">
      <c r="A149" s="549" t="s">
        <v>144</v>
      </c>
      <c r="B149" s="457" t="s">
        <v>161</v>
      </c>
      <c r="C149" s="457" t="s">
        <v>145</v>
      </c>
      <c r="D149" s="548" t="s">
        <v>146</v>
      </c>
      <c r="E149" s="1640" t="s">
        <v>147</v>
      </c>
      <c r="F149" s="879" t="s">
        <v>148</v>
      </c>
      <c r="G149" s="1518" t="s">
        <v>15</v>
      </c>
      <c r="H149" s="1518"/>
      <c r="I149" s="495"/>
      <c r="J149" s="916"/>
      <c r="K149" s="916"/>
      <c r="L149" s="916"/>
      <c r="M149" s="929"/>
      <c r="N149" s="916"/>
      <c r="O149" s="916"/>
      <c r="P149" s="916"/>
      <c r="Q149" s="916"/>
      <c r="R149" s="916"/>
    </row>
    <row r="150" spans="1:18" ht="13.8" x14ac:dyDescent="0.3">
      <c r="A150" s="459" t="s">
        <v>149</v>
      </c>
      <c r="B150" s="460" t="s">
        <v>150</v>
      </c>
      <c r="C150" s="461" t="s">
        <v>156</v>
      </c>
      <c r="D150" s="462" t="s">
        <v>157</v>
      </c>
      <c r="E150" s="1641"/>
      <c r="F150" s="880" t="s">
        <v>152</v>
      </c>
      <c r="G150" s="534" t="s">
        <v>16</v>
      </c>
      <c r="H150" s="534" t="s">
        <v>17</v>
      </c>
      <c r="I150" s="495"/>
      <c r="J150" s="916"/>
      <c r="K150" s="916"/>
      <c r="L150" s="916"/>
      <c r="M150" s="929"/>
      <c r="N150" s="916"/>
      <c r="O150" s="916"/>
      <c r="P150" s="916"/>
      <c r="Q150" s="916"/>
      <c r="R150" s="916"/>
    </row>
    <row r="151" spans="1:18" ht="13.8" x14ac:dyDescent="0.3">
      <c r="A151" s="198">
        <v>1</v>
      </c>
      <c r="B151" s="193">
        <v>703</v>
      </c>
      <c r="C151" s="188"/>
      <c r="D151" s="464" t="str">
        <f>IF(COUNTIF(B151:C159,""),"",B151/C151)</f>
        <v/>
      </c>
      <c r="E151" s="1642" t="str">
        <f>IF(COUNTIF(B151:C159,""),"",AVERAGE(D151:D153))</f>
        <v/>
      </c>
      <c r="F151" s="46" t="str">
        <f>IF(COUNTIF(B151:C159,""),"",+ABS(D151-E151)/E151)</f>
        <v/>
      </c>
      <c r="G151" s="465" t="str">
        <f>IF(COUNTIF(B151:C159,""),"",IF($B$13="DR",IF(F151&lt;=0.06,"X",""),IF(F151&lt;=0.15,"X","")))</f>
        <v/>
      </c>
      <c r="H151" s="465" t="str">
        <f>IF(COUNTIF(B151:C159,""),"",IF($B$13="DR",IF(F151&gt;0.06,"X",""),IF(F151&gt;0.15,"X","")))</f>
        <v/>
      </c>
      <c r="I151" s="5">
        <f t="shared" ref="I151:I159" si="20">COUNTIF(H151,"X")</f>
        <v>0</v>
      </c>
      <c r="J151" s="916"/>
      <c r="K151" s="916"/>
      <c r="L151" s="916"/>
      <c r="M151" s="929"/>
      <c r="N151" s="916"/>
      <c r="O151" s="916"/>
      <c r="P151" s="916"/>
      <c r="Q151" s="916"/>
      <c r="R151" s="916"/>
    </row>
    <row r="152" spans="1:18" ht="13.8" x14ac:dyDescent="0.3">
      <c r="A152" s="199">
        <v>2</v>
      </c>
      <c r="B152" s="193">
        <v>750</v>
      </c>
      <c r="C152" s="188"/>
      <c r="D152" s="464" t="str">
        <f>IF(COUNTIF(B151:C159,""),"",B152/C152)</f>
        <v/>
      </c>
      <c r="E152" s="1643"/>
      <c r="F152" s="46" t="str">
        <f>IF(COUNTIF(B151:C159,""),"",+ABS(D152-E151)/E151)</f>
        <v/>
      </c>
      <c r="G152" s="465" t="str">
        <f>IF(COUNTIF(B151:C159,""),"",IF($B$13="DR",IF(F152&lt;=0.06,"X",""),IF(F152&lt;=0.15,"X","")))</f>
        <v/>
      </c>
      <c r="H152" s="465" t="str">
        <f>IF(COUNTIF(B151:C159,""),"",IF($B$13="DR",IF(F152&gt;0.06,"X",""),IF(F152&gt;0.15,"X","")))</f>
        <v/>
      </c>
      <c r="I152" s="5">
        <f t="shared" si="20"/>
        <v>0</v>
      </c>
      <c r="J152" s="916"/>
      <c r="K152" s="916"/>
      <c r="L152" s="916"/>
      <c r="M152" s="929"/>
      <c r="N152" s="916"/>
      <c r="O152" s="916"/>
      <c r="P152" s="916"/>
      <c r="Q152" s="916"/>
      <c r="R152" s="916"/>
    </row>
    <row r="153" spans="1:18" ht="13.8" x14ac:dyDescent="0.3">
      <c r="A153" s="199">
        <v>3</v>
      </c>
      <c r="B153" s="193">
        <v>950</v>
      </c>
      <c r="C153" s="188"/>
      <c r="D153" s="464" t="str">
        <f>IF(COUNTIF(B151:C159,""),"",B153/C153)</f>
        <v/>
      </c>
      <c r="E153" s="1644"/>
      <c r="F153" s="46" t="str">
        <f>IF(COUNTIF(B151:C159,""),"",+ABS(D153-E151)/E151)</f>
        <v/>
      </c>
      <c r="G153" s="465" t="str">
        <f>IF(COUNTIF(B151:C159,""),"",IF($B$13="DR",IF(F153&lt;=0.06,"X",""),IF(F153&lt;=0.15,"X","")))</f>
        <v/>
      </c>
      <c r="H153" s="465" t="str">
        <f>IF(COUNTIF(B151:C159,""),"",IF($B$13="DR",IF(F153&gt;0.06,"X",""),IF(F153&gt;0.15,"X","")))</f>
        <v/>
      </c>
      <c r="I153" s="5">
        <f t="shared" si="20"/>
        <v>0</v>
      </c>
      <c r="J153" s="916"/>
      <c r="K153" s="916"/>
      <c r="L153" s="916"/>
      <c r="M153" s="929"/>
      <c r="N153" s="916"/>
      <c r="O153" s="916"/>
      <c r="P153" s="916"/>
      <c r="Q153" s="916"/>
      <c r="R153" s="916"/>
    </row>
    <row r="154" spans="1:18" ht="13.8" x14ac:dyDescent="0.3">
      <c r="A154" s="199">
        <v>4</v>
      </c>
      <c r="B154" s="195">
        <v>1300</v>
      </c>
      <c r="C154" s="188"/>
      <c r="D154" s="464" t="str">
        <f>IF(COUNTIF(B151:C159,""),"",B154/C154)</f>
        <v/>
      </c>
      <c r="E154" s="1642" t="str">
        <f>IF(COUNTIF(B151:C159,""),"",AVERAGE(D154:D156))</f>
        <v/>
      </c>
      <c r="F154" s="46" t="str">
        <f>IF(COUNTIF(B151:C159,""),"",+ABS(D154-E154)/E154)</f>
        <v/>
      </c>
      <c r="G154" s="465" t="str">
        <f>IF(COUNTIF(B151:C159,""),"",IF($B$13="DR",IF(F154&lt;=0.06,"X",""),IF(F154&lt;=0.15,"X","")))</f>
        <v/>
      </c>
      <c r="H154" s="465" t="str">
        <f>IF(COUNTIF(B151:C159,""),"",IF($B$13="DR",IF(F154&gt;0.06,"X",""),IF(F154&gt;0.15,"X","")))</f>
        <v/>
      </c>
      <c r="I154" s="5">
        <f t="shared" si="20"/>
        <v>0</v>
      </c>
      <c r="J154" s="916"/>
      <c r="K154" s="916"/>
      <c r="L154" s="916"/>
      <c r="M154" s="929"/>
      <c r="N154" s="916"/>
      <c r="O154" s="916"/>
      <c r="P154" s="916"/>
      <c r="Q154" s="916"/>
      <c r="R154" s="916"/>
    </row>
    <row r="155" spans="1:18" ht="13.8" x14ac:dyDescent="0.3">
      <c r="A155" s="200">
        <v>5</v>
      </c>
      <c r="B155" s="196">
        <v>1450</v>
      </c>
      <c r="C155" s="188"/>
      <c r="D155" s="464" t="str">
        <f>IF(COUNTIF(B151:C159,""),"",B155/C155)</f>
        <v/>
      </c>
      <c r="E155" s="1643"/>
      <c r="F155" s="46" t="str">
        <f>IF(COUNTIF(B151:C159,""),"",+ABS(D155-E154)/E154)</f>
        <v/>
      </c>
      <c r="G155" s="465" t="str">
        <f>IF(COUNTIF(B151:C159,""),"",IF($B$13="DR",IF(F155&lt;=0.06,"X",""),IF(F155&lt;=0.15,"X","")))</f>
        <v/>
      </c>
      <c r="H155" s="465" t="str">
        <f>IF(COUNTIF(B151:C159,""),"",IF($B$13="DR",IF(F155&gt;0.06,"X",""),IF(F155&gt;0.15,"X","")))</f>
        <v/>
      </c>
      <c r="I155" s="5">
        <f t="shared" si="20"/>
        <v>0</v>
      </c>
      <c r="J155" s="916"/>
      <c r="K155" s="916"/>
      <c r="L155" s="916" t="str">
        <f>B148</f>
        <v>cass#8</v>
      </c>
      <c r="M155" s="928">
        <f>E148</f>
        <v>0</v>
      </c>
      <c r="N155" s="927">
        <f>B155</f>
        <v>1450</v>
      </c>
      <c r="O155" s="927">
        <f>C155</f>
        <v>0</v>
      </c>
      <c r="P155" s="916"/>
      <c r="Q155" s="927">
        <f>D148</f>
        <v>72</v>
      </c>
      <c r="R155" s="916"/>
    </row>
    <row r="156" spans="1:18" ht="13.8" x14ac:dyDescent="0.3">
      <c r="A156" s="199">
        <v>6</v>
      </c>
      <c r="B156" s="196">
        <v>1300</v>
      </c>
      <c r="C156" s="188"/>
      <c r="D156" s="464" t="str">
        <f>IF(COUNTIF(B151:C159,""),"",B156/C156)</f>
        <v/>
      </c>
      <c r="E156" s="1644"/>
      <c r="F156" s="46" t="str">
        <f>IF(COUNTIF(B151:C159,""),"",+ABS(D156-E154)/E154)</f>
        <v/>
      </c>
      <c r="G156" s="465" t="str">
        <f>IF(COUNTIF(B151:C159,""),"",IF($B$13="DR",IF(F156&lt;=0.06,"X",""),IF(F156&lt;=0.15,"X","")))</f>
        <v/>
      </c>
      <c r="H156" s="465" t="str">
        <f>IF(COUNTIF(B151:C159,""),"",IF($B$13="DR",IF(F156&gt;0.06,"X",""),IF(F156&gt;0.15,"X","")))</f>
        <v/>
      </c>
      <c r="I156" s="5">
        <f t="shared" si="20"/>
        <v>0</v>
      </c>
      <c r="J156" s="916"/>
      <c r="K156" s="916"/>
      <c r="L156" s="916"/>
      <c r="M156" s="929"/>
      <c r="N156" s="916"/>
      <c r="O156" s="916"/>
      <c r="P156" s="916"/>
      <c r="Q156" s="916"/>
      <c r="R156" s="916"/>
    </row>
    <row r="157" spans="1:18" ht="13.8" x14ac:dyDescent="0.3">
      <c r="A157" s="200">
        <v>7</v>
      </c>
      <c r="B157" s="196">
        <v>900</v>
      </c>
      <c r="C157" s="188"/>
      <c r="D157" s="464" t="str">
        <f>IF(COUNTIF(B151:C159,""),"",B157/C157)</f>
        <v/>
      </c>
      <c r="E157" s="1642" t="str">
        <f>IF(COUNTIF(B151:C159,""),"",AVERAGE(D157:D159))</f>
        <v/>
      </c>
      <c r="F157" s="46" t="str">
        <f>IF(COUNTIF(B151:C159,""),"",+ABS(D157-E157)/E157)</f>
        <v/>
      </c>
      <c r="G157" s="465" t="str">
        <f>IF(COUNTIF(B151:C159,""),"",IF($B$13="DR",IF(F157&lt;=0.06,"X",""),IF(F157&lt;=0.15,"X","")))</f>
        <v/>
      </c>
      <c r="H157" s="465" t="str">
        <f>IF(COUNTIF(B151:C159,""),"",IF($B$13="DR",IF(F157&gt;0.06,"X",""),IF(F157&gt;0.15,"X","")))</f>
        <v/>
      </c>
      <c r="I157" s="5">
        <f t="shared" si="20"/>
        <v>0</v>
      </c>
      <c r="J157" s="916"/>
      <c r="K157" s="916"/>
      <c r="L157" s="916"/>
      <c r="M157" s="929"/>
      <c r="N157" s="916"/>
      <c r="O157" s="916"/>
      <c r="P157" s="916"/>
      <c r="Q157" s="916"/>
      <c r="R157" s="916"/>
    </row>
    <row r="158" spans="1:18" ht="13.8" x14ac:dyDescent="0.3">
      <c r="A158" s="201">
        <v>8</v>
      </c>
      <c r="B158" s="196">
        <v>1350</v>
      </c>
      <c r="C158" s="188"/>
      <c r="D158" s="464" t="str">
        <f>IF(COUNTIF(B151:C159,""),"",B158/C158)</f>
        <v/>
      </c>
      <c r="E158" s="1643"/>
      <c r="F158" s="46" t="str">
        <f>IF(COUNTIF(B151:C159,""),"",+ABS(D158-E157)/E157)</f>
        <v/>
      </c>
      <c r="G158" s="465" t="str">
        <f>IF(COUNTIF(B151:C159,""),"",IF($B$13="DR",IF(F158&lt;=0.06,"X",""),IF(F158&lt;=0.15,"X","")))</f>
        <v/>
      </c>
      <c r="H158" s="465" t="str">
        <f>IF(COUNTIF(B151:C159,""),"",IF($B$13="DR",IF(F158&gt;0.06,"X",""),IF(F158&gt;0.15,"X","")))</f>
        <v/>
      </c>
      <c r="I158" s="5">
        <f t="shared" si="20"/>
        <v>0</v>
      </c>
      <c r="J158" s="916"/>
      <c r="K158" s="916"/>
      <c r="L158" s="916"/>
      <c r="M158" s="929"/>
      <c r="N158" s="916"/>
      <c r="O158" s="916"/>
      <c r="P158" s="916"/>
      <c r="Q158" s="916"/>
      <c r="R158" s="916"/>
    </row>
    <row r="159" spans="1:18" ht="13.8" x14ac:dyDescent="0.3">
      <c r="A159" s="180">
        <v>9</v>
      </c>
      <c r="B159" s="196">
        <v>1300</v>
      </c>
      <c r="C159" s="188"/>
      <c r="D159" s="464" t="str">
        <f>IF(COUNTIF(B151:C159,""),"",B159/C159)</f>
        <v/>
      </c>
      <c r="E159" s="1644"/>
      <c r="F159" s="46" t="str">
        <f>IF(COUNTIF(B151:C159,""),"",+ABS(D159-E157)/E157)</f>
        <v/>
      </c>
      <c r="G159" s="465" t="str">
        <f>IF(COUNTIF(B151:C159,""),"",IF($B$13="DR",IF(F159&lt;=0.06,"X",""),IF(F159&lt;=0.15,"X","")))</f>
        <v/>
      </c>
      <c r="H159" s="465" t="str">
        <f>IF(COUNTIF(B151:C159,""),"",IF($B$13="DR",IF(F159&gt;0.06,"X",""),IF(F159&gt;0.15,"X","")))</f>
        <v/>
      </c>
      <c r="I159" s="5">
        <f t="shared" si="20"/>
        <v>0</v>
      </c>
      <c r="J159" s="916"/>
      <c r="K159" s="916"/>
      <c r="L159" s="916"/>
      <c r="M159" s="929"/>
      <c r="N159" s="916"/>
      <c r="O159" s="916"/>
      <c r="P159" s="916"/>
      <c r="Q159" s="916"/>
      <c r="R159" s="916"/>
    </row>
    <row r="160" spans="1:18" ht="13.8" x14ac:dyDescent="0.3">
      <c r="F160" s="877"/>
      <c r="J160" s="916"/>
      <c r="K160" s="916"/>
      <c r="L160" s="916"/>
      <c r="M160" s="929"/>
      <c r="N160" s="916"/>
      <c r="O160" s="916"/>
      <c r="P160" s="916"/>
      <c r="Q160" s="916"/>
      <c r="R160" s="916"/>
    </row>
    <row r="161" spans="1:18" ht="13.8" x14ac:dyDescent="0.3">
      <c r="A161" s="563" t="s">
        <v>805</v>
      </c>
      <c r="B161" s="192" t="s">
        <v>657</v>
      </c>
      <c r="C161" s="563" t="s">
        <v>585</v>
      </c>
      <c r="D161" s="192">
        <v>75</v>
      </c>
      <c r="E161" s="191" t="s">
        <v>142</v>
      </c>
      <c r="F161" s="878"/>
      <c r="G161" s="176"/>
      <c r="H161" s="176"/>
      <c r="J161" s="916"/>
      <c r="K161" s="916"/>
      <c r="L161" s="916"/>
      <c r="M161" s="929"/>
      <c r="N161" s="916"/>
      <c r="O161" s="916"/>
      <c r="P161" s="916"/>
      <c r="Q161" s="916"/>
      <c r="R161" s="916"/>
    </row>
    <row r="162" spans="1:18" ht="13.8" x14ac:dyDescent="0.3">
      <c r="A162" s="549" t="s">
        <v>144</v>
      </c>
      <c r="B162" s="457" t="s">
        <v>161</v>
      </c>
      <c r="C162" s="457" t="s">
        <v>145</v>
      </c>
      <c r="D162" s="548" t="s">
        <v>146</v>
      </c>
      <c r="E162" s="1640" t="s">
        <v>147</v>
      </c>
      <c r="F162" s="879" t="s">
        <v>148</v>
      </c>
      <c r="G162" s="1518" t="s">
        <v>15</v>
      </c>
      <c r="H162" s="1518"/>
      <c r="I162" s="495"/>
      <c r="J162" s="916"/>
      <c r="K162" s="916"/>
      <c r="L162" s="916"/>
      <c r="M162" s="929"/>
      <c r="N162" s="916"/>
      <c r="O162" s="916"/>
      <c r="P162" s="916"/>
      <c r="Q162" s="916"/>
      <c r="R162" s="916"/>
    </row>
    <row r="163" spans="1:18" ht="13.8" x14ac:dyDescent="0.3">
      <c r="A163" s="459" t="s">
        <v>149</v>
      </c>
      <c r="B163" s="460" t="s">
        <v>150</v>
      </c>
      <c r="C163" s="461" t="s">
        <v>156</v>
      </c>
      <c r="D163" s="462" t="s">
        <v>157</v>
      </c>
      <c r="E163" s="1641"/>
      <c r="F163" s="880" t="s">
        <v>152</v>
      </c>
      <c r="G163" s="534" t="s">
        <v>16</v>
      </c>
      <c r="H163" s="534" t="s">
        <v>17</v>
      </c>
      <c r="I163" s="495"/>
      <c r="J163" s="916"/>
      <c r="K163" s="916"/>
      <c r="L163" s="916"/>
      <c r="M163" s="929"/>
      <c r="N163" s="916"/>
      <c r="O163" s="916"/>
      <c r="P163" s="916"/>
      <c r="Q163" s="916"/>
      <c r="R163" s="916"/>
    </row>
    <row r="164" spans="1:18" ht="13.8" x14ac:dyDescent="0.3">
      <c r="A164" s="198">
        <v>1</v>
      </c>
      <c r="B164" s="193">
        <v>703</v>
      </c>
      <c r="C164" s="188">
        <v>11</v>
      </c>
      <c r="D164" s="464">
        <f>IF(COUNTIF(B164:C172,""),"",B164/C164)</f>
        <v>63.909090909090907</v>
      </c>
      <c r="E164" s="1642">
        <f>IF(COUNTIF(B164:C172,""),"",AVERAGE(D164:D166))</f>
        <v>74.757575757575751</v>
      </c>
      <c r="F164" s="46">
        <f>IF(COUNTIF(B164:C172,""),"",+ABS(D164-E164)/E164)</f>
        <v>0.1451155249290636</v>
      </c>
      <c r="G164" s="465" t="str">
        <f>IF(COUNTIF(B164:C172,""),"",IF($B$13="DR",IF(F164&lt;=0.06,"X",""),IF(F164&lt;=0.15,"X","")))</f>
        <v/>
      </c>
      <c r="H164" s="465" t="str">
        <f>IF(COUNTIF(B164:C172,""),"",IF($B$13="DR",IF(F164&gt;0.06,"X",""),IF(F164&gt;0.15,"X","")))</f>
        <v>X</v>
      </c>
      <c r="I164" s="5">
        <f t="shared" ref="I164:I172" si="21">COUNTIF(H164,"X")</f>
        <v>1</v>
      </c>
      <c r="J164" s="916"/>
      <c r="K164" s="916"/>
      <c r="L164" s="916"/>
      <c r="M164" s="929"/>
      <c r="N164" s="916"/>
      <c r="O164" s="916"/>
      <c r="P164" s="916"/>
      <c r="Q164" s="916"/>
      <c r="R164" s="916"/>
    </row>
    <row r="165" spans="1:18" ht="13.8" x14ac:dyDescent="0.3">
      <c r="A165" s="199">
        <v>2</v>
      </c>
      <c r="B165" s="193">
        <v>740</v>
      </c>
      <c r="C165" s="188">
        <v>10</v>
      </c>
      <c r="D165" s="464">
        <f>IF(COUNTIF(B164:C172,""),"",B165/C165)</f>
        <v>74</v>
      </c>
      <c r="E165" s="1643"/>
      <c r="F165" s="46">
        <f>IF(COUNTIF(B164:C172,""),"",+ABS(D165-E164)/E164)</f>
        <v>1.0133765707336755E-2</v>
      </c>
      <c r="G165" s="465" t="str">
        <f>IF(COUNTIF(B164:C172,""),"",IF($B$13="DR",IF(F165&lt;=0.06,"X",""),IF(F165&lt;=0.15,"X","")))</f>
        <v>X</v>
      </c>
      <c r="H165" s="465" t="str">
        <f>IF(COUNTIF(B164:C172,""),"",IF($B$13="DR",IF(F165&gt;0.06,"X",""),IF(F165&gt;0.15,"X","")))</f>
        <v/>
      </c>
      <c r="I165" s="5">
        <f t="shared" si="21"/>
        <v>0</v>
      </c>
      <c r="J165" s="916"/>
      <c r="K165" s="916"/>
      <c r="L165" s="916"/>
      <c r="M165" s="929"/>
      <c r="N165" s="916"/>
      <c r="O165" s="916"/>
      <c r="P165" s="916"/>
      <c r="Q165" s="916"/>
      <c r="R165" s="916"/>
    </row>
    <row r="166" spans="1:18" ht="13.8" x14ac:dyDescent="0.3">
      <c r="A166" s="199">
        <v>3</v>
      </c>
      <c r="B166" s="193">
        <v>950</v>
      </c>
      <c r="C166" s="188">
        <v>11</v>
      </c>
      <c r="D166" s="464">
        <f>IF(COUNTIF(B164:C172,""),"",B166/C166)</f>
        <v>86.36363636363636</v>
      </c>
      <c r="E166" s="1644"/>
      <c r="F166" s="46">
        <f>IF(COUNTIF(B164:C172,""),"",+ABS(D166-E164)/E164)</f>
        <v>0.15524929063640053</v>
      </c>
      <c r="G166" s="465" t="str">
        <f>IF(COUNTIF(B164:C172,""),"",IF($B$13="DR",IF(F166&lt;=0.06,"X",""),IF(F166&lt;=0.15,"X","")))</f>
        <v/>
      </c>
      <c r="H166" s="465" t="str">
        <f>IF(COUNTIF(B164:C172,""),"",IF($B$13="DR",IF(F166&gt;0.06,"X",""),IF(F166&gt;0.15,"X","")))</f>
        <v>X</v>
      </c>
      <c r="I166" s="5">
        <f t="shared" si="21"/>
        <v>1</v>
      </c>
      <c r="J166" s="916"/>
      <c r="K166" s="916"/>
      <c r="L166" s="916"/>
      <c r="M166" s="929"/>
      <c r="N166" s="916"/>
      <c r="O166" s="916"/>
      <c r="P166" s="916"/>
      <c r="Q166" s="916"/>
      <c r="R166" s="916"/>
    </row>
    <row r="167" spans="1:18" ht="13.8" x14ac:dyDescent="0.3">
      <c r="A167" s="199">
        <v>4</v>
      </c>
      <c r="B167" s="195">
        <v>1300</v>
      </c>
      <c r="C167" s="188">
        <v>10</v>
      </c>
      <c r="D167" s="464">
        <f>IF(COUNTIF(B164:C172,""),"",B167/C167)</f>
        <v>130</v>
      </c>
      <c r="E167" s="1642">
        <f>IF(COUNTIF(B164:C172,""),"",AVERAGE(D167:D169))</f>
        <v>131.5151515151515</v>
      </c>
      <c r="F167" s="46">
        <f>IF(COUNTIF(B164:C172,""),"",+ABS(D167-E167)/E167)</f>
        <v>1.1520737327188836E-2</v>
      </c>
      <c r="G167" s="465" t="str">
        <f>IF(COUNTIF(B164:C172,""),"",IF($B$13="DR",IF(F167&lt;=0.06,"X",""),IF(F167&lt;=0.15,"X","")))</f>
        <v>X</v>
      </c>
      <c r="H167" s="465" t="str">
        <f>IF(COUNTIF(B164:C172,""),"",IF($B$13="DR",IF(F167&gt;0.06,"X",""),IF(F167&gt;0.15,"X","")))</f>
        <v/>
      </c>
      <c r="I167" s="5">
        <f t="shared" si="21"/>
        <v>0</v>
      </c>
      <c r="J167" s="916"/>
      <c r="K167" s="916"/>
      <c r="L167" s="916"/>
      <c r="M167" s="929"/>
      <c r="N167" s="916"/>
      <c r="O167" s="916"/>
      <c r="P167" s="916"/>
      <c r="Q167" s="916"/>
      <c r="R167" s="916"/>
    </row>
    <row r="168" spans="1:18" ht="13.8" x14ac:dyDescent="0.3">
      <c r="A168" s="200">
        <v>5</v>
      </c>
      <c r="B168" s="196">
        <v>1480</v>
      </c>
      <c r="C168" s="188">
        <v>11</v>
      </c>
      <c r="D168" s="464">
        <f>IF(COUNTIF(B164:C172,""),"",B168/C168)</f>
        <v>134.54545454545453</v>
      </c>
      <c r="E168" s="1643"/>
      <c r="F168" s="46">
        <f>IF(COUNTIF(B164:C172,""),"",+ABS(D168-E167)/E167)</f>
        <v>2.3041474654377888E-2</v>
      </c>
      <c r="G168" s="465" t="str">
        <f>IF(COUNTIF(B164:C172,""),"",IF($B$13="DR",IF(F168&lt;=0.06,"X",""),IF(F168&lt;=0.15,"X","")))</f>
        <v>X</v>
      </c>
      <c r="H168" s="465" t="str">
        <f>IF(COUNTIF(B164:C172,""),"",IF($B$13="DR",IF(F168&gt;0.06,"X",""),IF(F168&gt;0.15,"X","")))</f>
        <v/>
      </c>
      <c r="I168" s="5">
        <f t="shared" si="21"/>
        <v>0</v>
      </c>
      <c r="J168" s="916"/>
      <c r="K168" s="916"/>
      <c r="L168" s="916" t="str">
        <f>B161</f>
        <v>cass#9</v>
      </c>
      <c r="M168" s="928" t="str">
        <f>E161</f>
        <v>18x24</v>
      </c>
      <c r="N168" s="927">
        <f>B168</f>
        <v>1480</v>
      </c>
      <c r="O168" s="927">
        <f>C168</f>
        <v>11</v>
      </c>
      <c r="P168" s="916"/>
      <c r="Q168" s="927">
        <f>D161</f>
        <v>75</v>
      </c>
      <c r="R168" s="916"/>
    </row>
    <row r="169" spans="1:18" ht="13.8" x14ac:dyDescent="0.3">
      <c r="A169" s="199">
        <v>6</v>
      </c>
      <c r="B169" s="196">
        <v>1300</v>
      </c>
      <c r="C169" s="188">
        <v>10</v>
      </c>
      <c r="D169" s="464">
        <f>IF(COUNTIF(B164:C172,""),"",B169/C169)</f>
        <v>130</v>
      </c>
      <c r="E169" s="1644"/>
      <c r="F169" s="46">
        <f>IF(COUNTIF(B164:C172,""),"",+ABS(D169-E167)/E167)</f>
        <v>1.1520737327188836E-2</v>
      </c>
      <c r="G169" s="465" t="str">
        <f>IF(COUNTIF(B164:C172,""),"",IF($B$13="DR",IF(F169&lt;=0.06,"X",""),IF(F169&lt;=0.15,"X","")))</f>
        <v>X</v>
      </c>
      <c r="H169" s="465" t="str">
        <f>IF(COUNTIF(B164:C172,""),"",IF($B$13="DR",IF(F169&gt;0.06,"X",""),IF(F169&gt;0.15,"X","")))</f>
        <v/>
      </c>
      <c r="I169" s="5">
        <f t="shared" si="21"/>
        <v>0</v>
      </c>
      <c r="J169" s="916"/>
      <c r="K169" s="916"/>
      <c r="L169" s="916"/>
      <c r="M169" s="929"/>
      <c r="N169" s="916"/>
      <c r="O169" s="916"/>
      <c r="P169" s="916"/>
      <c r="Q169" s="916"/>
      <c r="R169" s="916"/>
    </row>
    <row r="170" spans="1:18" ht="13.8" x14ac:dyDescent="0.3">
      <c r="A170" s="200">
        <v>7</v>
      </c>
      <c r="B170" s="196">
        <v>900</v>
      </c>
      <c r="C170" s="188">
        <v>10</v>
      </c>
      <c r="D170" s="464">
        <f>IF(COUNTIF(B164:C172,""),"",B170/C170)</f>
        <v>90</v>
      </c>
      <c r="E170" s="1642">
        <f>IF(COUNTIF(B164:C172,""),"",AVERAGE(D170:D172))</f>
        <v>114.24242424242425</v>
      </c>
      <c r="F170" s="46">
        <f>IF(COUNTIF(B164:C172,""),"",+ABS(D170-E170)/E170)</f>
        <v>0.21220159151193638</v>
      </c>
      <c r="G170" s="465" t="str">
        <f>IF(COUNTIF(B164:C172,""),"",IF($B$13="DR",IF(F170&lt;=0.06,"X",""),IF(F170&lt;=0.15,"X","")))</f>
        <v/>
      </c>
      <c r="H170" s="465" t="str">
        <f>IF(COUNTIF(B164:C172,""),"",IF($B$13="DR",IF(F170&gt;0.06,"X",""),IF(F170&gt;0.15,"X","")))</f>
        <v>X</v>
      </c>
      <c r="I170" s="5">
        <f t="shared" si="21"/>
        <v>1</v>
      </c>
      <c r="J170" s="916"/>
      <c r="K170" s="916"/>
      <c r="L170" s="916"/>
      <c r="M170" s="929"/>
      <c r="N170" s="916"/>
      <c r="O170" s="916"/>
      <c r="P170" s="916"/>
      <c r="Q170" s="916"/>
      <c r="R170" s="916"/>
    </row>
    <row r="171" spans="1:18" ht="13.8" x14ac:dyDescent="0.3">
      <c r="A171" s="201">
        <v>8</v>
      </c>
      <c r="B171" s="196">
        <v>1350</v>
      </c>
      <c r="C171" s="188">
        <v>11</v>
      </c>
      <c r="D171" s="464">
        <f>IF(COUNTIF(B164:C172,""),"",B171/C171)</f>
        <v>122.72727272727273</v>
      </c>
      <c r="E171" s="1643"/>
      <c r="F171" s="46">
        <f>IF(COUNTIF(B164:C172,""),"",+ABS(D171-E170)/E170)</f>
        <v>7.4270557029177717E-2</v>
      </c>
      <c r="G171" s="465" t="str">
        <f>IF(COUNTIF(B164:C172,""),"",IF($B$13="DR",IF(F171&lt;=0.06,"X",""),IF(F171&lt;=0.15,"X","")))</f>
        <v/>
      </c>
      <c r="H171" s="465" t="str">
        <f>IF(COUNTIF(B164:C172,""),"",IF($B$13="DR",IF(F171&gt;0.06,"X",""),IF(F171&gt;0.15,"X","")))</f>
        <v>X</v>
      </c>
      <c r="I171" s="5">
        <f t="shared" si="21"/>
        <v>1</v>
      </c>
      <c r="J171" s="916"/>
      <c r="K171" s="916"/>
      <c r="L171" s="916"/>
      <c r="M171" s="929"/>
      <c r="N171" s="916"/>
      <c r="O171" s="916"/>
      <c r="P171" s="916"/>
      <c r="Q171" s="916"/>
      <c r="R171" s="916"/>
    </row>
    <row r="172" spans="1:18" ht="13.8" x14ac:dyDescent="0.3">
      <c r="A172" s="180">
        <v>9</v>
      </c>
      <c r="B172" s="196">
        <v>1300</v>
      </c>
      <c r="C172" s="188">
        <v>10</v>
      </c>
      <c r="D172" s="464">
        <f>IF(COUNTIF(B164:C172,""),"",B172/C172)</f>
        <v>130</v>
      </c>
      <c r="E172" s="1644"/>
      <c r="F172" s="46">
        <f>IF(COUNTIF(B164:C172,""),"",+ABS(D172-E170)/E170)</f>
        <v>0.13793103448275856</v>
      </c>
      <c r="G172" s="465" t="str">
        <f>IF(COUNTIF(B164:C172,""),"",IF($B$13="DR",IF(F172&lt;=0.06,"X",""),IF(F172&lt;=0.15,"X","")))</f>
        <v/>
      </c>
      <c r="H172" s="465" t="str">
        <f>IF(COUNTIF(B164:C172,""),"",IF($B$13="DR",IF(F172&gt;0.06,"X",""),IF(F172&gt;0.15,"X","")))</f>
        <v>X</v>
      </c>
      <c r="I172" s="5">
        <f t="shared" si="21"/>
        <v>1</v>
      </c>
      <c r="J172" s="916"/>
      <c r="K172" s="916"/>
      <c r="L172" s="916"/>
      <c r="M172" s="929"/>
      <c r="N172" s="916"/>
      <c r="O172" s="916"/>
      <c r="P172" s="916"/>
      <c r="Q172" s="916"/>
      <c r="R172" s="916"/>
    </row>
    <row r="173" spans="1:18" ht="13.8" x14ac:dyDescent="0.3">
      <c r="F173" s="877"/>
      <c r="J173" s="916"/>
      <c r="K173" s="916"/>
      <c r="L173" s="916"/>
      <c r="M173" s="929"/>
      <c r="N173" s="916"/>
      <c r="O173" s="916"/>
      <c r="P173" s="916"/>
      <c r="Q173" s="916"/>
      <c r="R173" s="916"/>
    </row>
    <row r="174" spans="1:18" ht="13.8" x14ac:dyDescent="0.3">
      <c r="A174" s="563" t="s">
        <v>805</v>
      </c>
      <c r="B174" s="192" t="s">
        <v>658</v>
      </c>
      <c r="C174" s="563" t="s">
        <v>585</v>
      </c>
      <c r="D174" s="192">
        <v>74</v>
      </c>
      <c r="E174" s="191"/>
      <c r="F174" s="878"/>
      <c r="G174" s="176"/>
      <c r="H174" s="176"/>
      <c r="J174" s="916"/>
      <c r="K174" s="916"/>
      <c r="L174" s="916"/>
      <c r="M174" s="929"/>
      <c r="N174" s="916"/>
      <c r="O174" s="916"/>
      <c r="P174" s="916"/>
      <c r="Q174" s="916"/>
      <c r="R174" s="916"/>
    </row>
    <row r="175" spans="1:18" ht="13.8" x14ac:dyDescent="0.3">
      <c r="A175" s="549" t="s">
        <v>144</v>
      </c>
      <c r="B175" s="457" t="s">
        <v>161</v>
      </c>
      <c r="C175" s="457" t="s">
        <v>145</v>
      </c>
      <c r="D175" s="548" t="s">
        <v>146</v>
      </c>
      <c r="E175" s="1640" t="s">
        <v>147</v>
      </c>
      <c r="F175" s="879" t="s">
        <v>148</v>
      </c>
      <c r="G175" s="1518" t="s">
        <v>15</v>
      </c>
      <c r="H175" s="1518"/>
      <c r="I175" s="495"/>
      <c r="J175" s="916"/>
      <c r="K175" s="916"/>
      <c r="L175" s="916"/>
      <c r="M175" s="929"/>
      <c r="N175" s="916"/>
      <c r="O175" s="916"/>
      <c r="P175" s="916"/>
      <c r="Q175" s="916"/>
      <c r="R175" s="916"/>
    </row>
    <row r="176" spans="1:18" ht="13.8" x14ac:dyDescent="0.3">
      <c r="A176" s="459" t="s">
        <v>149</v>
      </c>
      <c r="B176" s="460" t="s">
        <v>150</v>
      </c>
      <c r="C176" s="461" t="s">
        <v>156</v>
      </c>
      <c r="D176" s="462" t="s">
        <v>157</v>
      </c>
      <c r="E176" s="1641"/>
      <c r="F176" s="880" t="s">
        <v>152</v>
      </c>
      <c r="G176" s="534" t="s">
        <v>16</v>
      </c>
      <c r="H176" s="534" t="s">
        <v>17</v>
      </c>
      <c r="I176" s="495"/>
      <c r="J176" s="916"/>
      <c r="K176" s="916"/>
      <c r="L176" s="916"/>
      <c r="M176" s="929"/>
      <c r="N176" s="916"/>
      <c r="O176" s="916"/>
      <c r="P176" s="916"/>
      <c r="Q176" s="916"/>
      <c r="R176" s="916"/>
    </row>
    <row r="177" spans="1:18" ht="13.8" x14ac:dyDescent="0.3">
      <c r="A177" s="198">
        <v>1</v>
      </c>
      <c r="B177" s="193">
        <v>703</v>
      </c>
      <c r="C177" s="188"/>
      <c r="D177" s="464" t="str">
        <f>IF(COUNTIF(B177:C185,""),"",B177/C177)</f>
        <v/>
      </c>
      <c r="E177" s="1642" t="str">
        <f>IF(COUNTIF(B177:C185,""),"",AVERAGE(D177:D179))</f>
        <v/>
      </c>
      <c r="F177" s="46" t="str">
        <f>IF(COUNTIF(B177:C185,""),"",+ABS(D177-E177)/E177)</f>
        <v/>
      </c>
      <c r="G177" s="465" t="str">
        <f>IF(COUNTIF(B177:C185,""),"",IF($B$13="DR",IF(F177&lt;=0.06,"X",""),IF(F177&lt;=0.15,"X","")))</f>
        <v/>
      </c>
      <c r="H177" s="465" t="str">
        <f>IF(COUNTIF(B177:C185,""),"",IF($B$13="DR",IF(F177&gt;0.06,"X",""),IF(F177&gt;0.15,"X","")))</f>
        <v/>
      </c>
      <c r="I177" s="5">
        <f t="shared" ref="I177:I185" si="22">COUNTIF(H177,"X")</f>
        <v>0</v>
      </c>
      <c r="J177" s="916"/>
      <c r="K177" s="916"/>
      <c r="L177" s="916"/>
      <c r="M177" s="929"/>
      <c r="N177" s="916"/>
      <c r="O177" s="916"/>
      <c r="P177" s="916"/>
      <c r="Q177" s="916"/>
      <c r="R177" s="916"/>
    </row>
    <row r="178" spans="1:18" ht="13.8" x14ac:dyDescent="0.3">
      <c r="A178" s="199">
        <v>2</v>
      </c>
      <c r="B178" s="193">
        <v>750</v>
      </c>
      <c r="C178" s="188"/>
      <c r="D178" s="464" t="str">
        <f>IF(COUNTIF(B177:C185,""),"",B178/C178)</f>
        <v/>
      </c>
      <c r="E178" s="1643"/>
      <c r="F178" s="46" t="str">
        <f>IF(COUNTIF(B177:C185,""),"",+ABS(D178-E177)/E177)</f>
        <v/>
      </c>
      <c r="G178" s="465" t="str">
        <f>IF(COUNTIF(B177:C185,""),"",IF($B$13="DR",IF(F178&lt;=0.06,"X",""),IF(F178&lt;=0.15,"X","")))</f>
        <v/>
      </c>
      <c r="H178" s="465" t="str">
        <f>IF(COUNTIF(B177:C185,""),"",IF($B$13="DR",IF(F178&gt;0.06,"X",""),IF(F178&gt;0.15,"X","")))</f>
        <v/>
      </c>
      <c r="I178" s="5">
        <f t="shared" si="22"/>
        <v>0</v>
      </c>
      <c r="J178" s="916"/>
      <c r="K178" s="916"/>
      <c r="L178" s="916"/>
      <c r="M178" s="929"/>
      <c r="N178" s="916"/>
      <c r="O178" s="916"/>
      <c r="P178" s="916"/>
      <c r="Q178" s="916"/>
      <c r="R178" s="916"/>
    </row>
    <row r="179" spans="1:18" ht="13.8" x14ac:dyDescent="0.3">
      <c r="A179" s="199">
        <v>3</v>
      </c>
      <c r="B179" s="193">
        <v>950</v>
      </c>
      <c r="C179" s="188"/>
      <c r="D179" s="464" t="str">
        <f>IF(COUNTIF(B177:C185,""),"",B179/C179)</f>
        <v/>
      </c>
      <c r="E179" s="1644"/>
      <c r="F179" s="46" t="str">
        <f>IF(COUNTIF(B177:C185,""),"",+ABS(D179-E177)/E177)</f>
        <v/>
      </c>
      <c r="G179" s="465" t="str">
        <f>IF(COUNTIF(B177:C185,""),"",IF($B$13="DR",IF(F179&lt;=0.06,"X",""),IF(F179&lt;=0.15,"X","")))</f>
        <v/>
      </c>
      <c r="H179" s="465" t="str">
        <f>IF(COUNTIF(B177:C185,""),"",IF($B$13="DR",IF(F179&gt;0.06,"X",""),IF(F179&gt;0.15,"X","")))</f>
        <v/>
      </c>
      <c r="I179" s="5">
        <f t="shared" si="22"/>
        <v>0</v>
      </c>
      <c r="J179" s="916"/>
      <c r="K179" s="916"/>
      <c r="L179" s="916"/>
      <c r="M179" s="929"/>
      <c r="N179" s="916"/>
      <c r="O179" s="916"/>
      <c r="P179" s="916"/>
      <c r="Q179" s="916"/>
      <c r="R179" s="916"/>
    </row>
    <row r="180" spans="1:18" ht="13.8" x14ac:dyDescent="0.3">
      <c r="A180" s="199">
        <v>4</v>
      </c>
      <c r="B180" s="195">
        <v>1300</v>
      </c>
      <c r="C180" s="188"/>
      <c r="D180" s="464" t="str">
        <f>IF(COUNTIF(B177:C185,""),"",B180/C180)</f>
        <v/>
      </c>
      <c r="E180" s="1642" t="str">
        <f>IF(COUNTIF(B177:C185,""),"",AVERAGE(D180:D182))</f>
        <v/>
      </c>
      <c r="F180" s="46" t="str">
        <f>IF(COUNTIF(B177:C185,""),"",+ABS(D180-E180)/E180)</f>
        <v/>
      </c>
      <c r="G180" s="465" t="str">
        <f>IF(COUNTIF(B177:C185,""),"",IF($B$13="DR",IF(F180&lt;=0.06,"X",""),IF(F180&lt;=0.15,"X","")))</f>
        <v/>
      </c>
      <c r="H180" s="465" t="str">
        <f>IF(COUNTIF(B177:C185,""),"",IF($B$13="DR",IF(F180&gt;0.06,"X",""),IF(F180&gt;0.15,"X","")))</f>
        <v/>
      </c>
      <c r="I180" s="5">
        <f t="shared" si="22"/>
        <v>0</v>
      </c>
      <c r="J180" s="916"/>
      <c r="K180" s="916"/>
      <c r="L180" s="916"/>
      <c r="M180" s="929"/>
      <c r="N180" s="916"/>
      <c r="O180" s="916"/>
      <c r="P180" s="916"/>
      <c r="Q180" s="916"/>
      <c r="R180" s="916"/>
    </row>
    <row r="181" spans="1:18" ht="13.8" x14ac:dyDescent="0.3">
      <c r="A181" s="200">
        <v>5</v>
      </c>
      <c r="B181" s="196">
        <v>1290</v>
      </c>
      <c r="C181" s="188"/>
      <c r="D181" s="464" t="str">
        <f>IF(COUNTIF(B177:C185,""),"",B181/C181)</f>
        <v/>
      </c>
      <c r="E181" s="1643"/>
      <c r="F181" s="46" t="str">
        <f>IF(COUNTIF(B177:C185,""),"",+ABS(D181-E180)/E180)</f>
        <v/>
      </c>
      <c r="G181" s="465" t="str">
        <f>IF(COUNTIF(B177:C185,""),"",IF($B$13="DR",IF(F181&lt;=0.06,"X",""),IF(F181&lt;=0.15,"X","")))</f>
        <v/>
      </c>
      <c r="H181" s="465" t="str">
        <f>IF(COUNTIF(B177:C185,""),"",IF($B$13="DR",IF(F181&gt;0.06,"X",""),IF(F181&gt;0.15,"X","")))</f>
        <v/>
      </c>
      <c r="I181" s="5">
        <f t="shared" si="22"/>
        <v>0</v>
      </c>
      <c r="J181" s="916"/>
      <c r="K181" s="916"/>
      <c r="L181" s="916" t="str">
        <f>B174</f>
        <v>cass#10</v>
      </c>
      <c r="M181" s="928">
        <f>E174</f>
        <v>0</v>
      </c>
      <c r="N181" s="927">
        <f>B181</f>
        <v>1290</v>
      </c>
      <c r="O181" s="927">
        <f>C181</f>
        <v>0</v>
      </c>
      <c r="P181" s="916"/>
      <c r="Q181" s="927">
        <f>D174</f>
        <v>74</v>
      </c>
      <c r="R181" s="916"/>
    </row>
    <row r="182" spans="1:18" ht="13.8" x14ac:dyDescent="0.3">
      <c r="A182" s="199">
        <v>6</v>
      </c>
      <c r="B182" s="196">
        <v>1200</v>
      </c>
      <c r="C182" s="188"/>
      <c r="D182" s="464" t="str">
        <f>IF(COUNTIF(B177:C185,""),"",B182/C182)</f>
        <v/>
      </c>
      <c r="E182" s="1644"/>
      <c r="F182" s="46" t="str">
        <f>IF(COUNTIF(B177:C185,""),"",+ABS(D182-E180)/E180)</f>
        <v/>
      </c>
      <c r="G182" s="465" t="str">
        <f>IF(COUNTIF(B177:C185,""),"",IF($B$13="DR",IF(F182&lt;=0.06,"X",""),IF(F182&lt;=0.15,"X","")))</f>
        <v/>
      </c>
      <c r="H182" s="465" t="str">
        <f>IF(COUNTIF(B177:C185,""),"",IF($B$13="DR",IF(F182&gt;0.06,"X",""),IF(F182&gt;0.15,"X","")))</f>
        <v/>
      </c>
      <c r="I182" s="5">
        <f t="shared" si="22"/>
        <v>0</v>
      </c>
      <c r="J182" s="916"/>
      <c r="K182" s="916"/>
      <c r="L182" s="916"/>
      <c r="M182" s="929"/>
      <c r="N182" s="916"/>
      <c r="O182" s="916"/>
      <c r="P182" s="916"/>
      <c r="Q182" s="916"/>
      <c r="R182" s="916"/>
    </row>
    <row r="183" spans="1:18" ht="13.8" x14ac:dyDescent="0.3">
      <c r="A183" s="200">
        <v>7</v>
      </c>
      <c r="B183" s="196">
        <v>900</v>
      </c>
      <c r="C183" s="188"/>
      <c r="D183" s="464" t="str">
        <f>IF(COUNTIF(B177:C185,""),"",B183/C183)</f>
        <v/>
      </c>
      <c r="E183" s="1642" t="str">
        <f>IF(COUNTIF(B177:C185,""),"",AVERAGE(D183:D185))</f>
        <v/>
      </c>
      <c r="F183" s="46" t="str">
        <f>IF(COUNTIF(B177:C185,""),"",+ABS(D183-E183)/E183)</f>
        <v/>
      </c>
      <c r="G183" s="465" t="str">
        <f>IF(COUNTIF(B177:C185,""),"",IF($B$13="DR",IF(F183&lt;=0.06,"X",""),IF(F183&lt;=0.15,"X","")))</f>
        <v/>
      </c>
      <c r="H183" s="465" t="str">
        <f>IF(COUNTIF(B177:C185,""),"",IF($B$13="DR",IF(F183&gt;0.06,"X",""),IF(F183&gt;0.15,"X","")))</f>
        <v/>
      </c>
      <c r="I183" s="5">
        <f t="shared" si="22"/>
        <v>0</v>
      </c>
      <c r="J183" s="916"/>
      <c r="K183" s="916"/>
      <c r="L183" s="916"/>
      <c r="M183" s="929"/>
      <c r="N183" s="916"/>
      <c r="O183" s="916"/>
      <c r="P183" s="916"/>
      <c r="Q183" s="916"/>
      <c r="R183" s="916"/>
    </row>
    <row r="184" spans="1:18" ht="13.8" x14ac:dyDescent="0.3">
      <c r="A184" s="201">
        <v>8</v>
      </c>
      <c r="B184" s="196">
        <v>1350</v>
      </c>
      <c r="C184" s="188"/>
      <c r="D184" s="464" t="str">
        <f>IF(COUNTIF(B177:C185,""),"",B184/C184)</f>
        <v/>
      </c>
      <c r="E184" s="1643"/>
      <c r="F184" s="46" t="str">
        <f>IF(COUNTIF(B177:C185,""),"",+ABS(D184-E183)/E183)</f>
        <v/>
      </c>
      <c r="G184" s="465" t="str">
        <f>IF(COUNTIF(B177:C185,""),"",IF($B$13="DR",IF(F184&lt;=0.06,"X",""),IF(F184&lt;=0.15,"X","")))</f>
        <v/>
      </c>
      <c r="H184" s="465" t="str">
        <f>IF(COUNTIF(B177:C185,""),"",IF($B$13="DR",IF(F184&gt;0.06,"X",""),IF(F184&gt;0.15,"X","")))</f>
        <v/>
      </c>
      <c r="I184" s="5">
        <f t="shared" si="22"/>
        <v>0</v>
      </c>
      <c r="J184" s="916"/>
      <c r="K184" s="916"/>
      <c r="L184" s="916"/>
      <c r="M184" s="929"/>
      <c r="N184" s="916"/>
      <c r="O184" s="916"/>
      <c r="P184" s="916"/>
      <c r="Q184" s="916"/>
      <c r="R184" s="916"/>
    </row>
    <row r="185" spans="1:18" ht="13.8" x14ac:dyDescent="0.3">
      <c r="A185" s="180">
        <v>9</v>
      </c>
      <c r="B185" s="196">
        <v>1300</v>
      </c>
      <c r="C185" s="188"/>
      <c r="D185" s="464" t="str">
        <f>IF(COUNTIF(B177:C185,""),"",B185/C185)</f>
        <v/>
      </c>
      <c r="E185" s="1644"/>
      <c r="F185" s="46" t="str">
        <f>IF(COUNTIF(B177:C185,""),"",+ABS(D185-E183)/E183)</f>
        <v/>
      </c>
      <c r="G185" s="465" t="str">
        <f>IF(COUNTIF(B177:C185,""),"",IF($B$13="DR",IF(F185&lt;=0.06,"X",""),IF(F185&lt;=0.15,"X","")))</f>
        <v/>
      </c>
      <c r="H185" s="465" t="str">
        <f>IF(COUNTIF(B177:C185,""),"",IF($B$13="DR",IF(F185&gt;0.06,"X",""),IF(F185&gt;0.15,"X","")))</f>
        <v/>
      </c>
      <c r="I185" s="5">
        <f t="shared" si="22"/>
        <v>0</v>
      </c>
      <c r="J185" s="916"/>
      <c r="K185" s="916"/>
      <c r="L185" s="916"/>
      <c r="M185" s="929"/>
      <c r="N185" s="916"/>
      <c r="O185" s="916"/>
      <c r="P185" s="916"/>
      <c r="Q185" s="916"/>
      <c r="R185" s="916"/>
    </row>
    <row r="186" spans="1:18" ht="13.8" x14ac:dyDescent="0.3">
      <c r="F186" s="877"/>
      <c r="J186" s="916"/>
      <c r="K186" s="916"/>
      <c r="L186" s="916"/>
      <c r="M186" s="929"/>
      <c r="N186" s="916"/>
      <c r="O186" s="916"/>
      <c r="P186" s="916"/>
      <c r="Q186" s="916"/>
      <c r="R186" s="916"/>
    </row>
    <row r="187" spans="1:18" ht="13.8" x14ac:dyDescent="0.3">
      <c r="A187" s="563" t="s">
        <v>805</v>
      </c>
      <c r="B187" s="192" t="s">
        <v>659</v>
      </c>
      <c r="C187" s="563" t="s">
        <v>585</v>
      </c>
      <c r="D187" s="192">
        <v>74</v>
      </c>
      <c r="E187" s="191" t="s">
        <v>143</v>
      </c>
      <c r="F187" s="878"/>
      <c r="G187" s="176"/>
      <c r="H187" s="176"/>
      <c r="J187" s="916"/>
      <c r="K187" s="916"/>
      <c r="L187" s="916"/>
      <c r="M187" s="929"/>
      <c r="N187" s="916"/>
      <c r="O187" s="916"/>
      <c r="P187" s="916"/>
      <c r="Q187" s="916"/>
      <c r="R187" s="916"/>
    </row>
    <row r="188" spans="1:18" ht="13.8" x14ac:dyDescent="0.3">
      <c r="A188" s="549" t="s">
        <v>144</v>
      </c>
      <c r="B188" s="457" t="s">
        <v>161</v>
      </c>
      <c r="C188" s="457" t="s">
        <v>145</v>
      </c>
      <c r="D188" s="548" t="s">
        <v>146</v>
      </c>
      <c r="E188" s="1640" t="s">
        <v>147</v>
      </c>
      <c r="F188" s="879" t="s">
        <v>148</v>
      </c>
      <c r="G188" s="1518" t="s">
        <v>15</v>
      </c>
      <c r="H188" s="1518"/>
      <c r="I188" s="495"/>
      <c r="J188" s="916"/>
      <c r="K188" s="916"/>
      <c r="L188" s="916"/>
      <c r="M188" s="929"/>
      <c r="N188" s="916"/>
      <c r="O188" s="916"/>
      <c r="P188" s="916"/>
      <c r="Q188" s="916"/>
      <c r="R188" s="916"/>
    </row>
    <row r="189" spans="1:18" ht="13.8" x14ac:dyDescent="0.3">
      <c r="A189" s="459" t="s">
        <v>149</v>
      </c>
      <c r="B189" s="460" t="s">
        <v>150</v>
      </c>
      <c r="C189" s="461" t="s">
        <v>156</v>
      </c>
      <c r="D189" s="462" t="s">
        <v>157</v>
      </c>
      <c r="E189" s="1641"/>
      <c r="F189" s="880" t="s">
        <v>152</v>
      </c>
      <c r="G189" s="534" t="s">
        <v>16</v>
      </c>
      <c r="H189" s="534" t="s">
        <v>17</v>
      </c>
      <c r="I189" s="495"/>
      <c r="J189" s="916"/>
      <c r="K189" s="916"/>
      <c r="L189" s="916"/>
      <c r="M189" s="929"/>
      <c r="N189" s="916"/>
      <c r="O189" s="916"/>
      <c r="P189" s="916"/>
      <c r="Q189" s="916"/>
      <c r="R189" s="916"/>
    </row>
    <row r="190" spans="1:18" ht="13.8" x14ac:dyDescent="0.3">
      <c r="A190" s="198">
        <v>1</v>
      </c>
      <c r="B190" s="193">
        <v>703</v>
      </c>
      <c r="C190" s="188">
        <v>11</v>
      </c>
      <c r="D190" s="464">
        <f>IF(COUNTIF(B190:C198,""),"",B190/C190)</f>
        <v>63.909090909090907</v>
      </c>
      <c r="E190" s="1642">
        <f>IF(COUNTIF(B190:C198,""),"",AVERAGE(D190:D192))</f>
        <v>75.090909090909079</v>
      </c>
      <c r="F190" s="46">
        <f>IF(COUNTIF(B190:C198,""),"",+ABS(D190-E190)/E190)</f>
        <v>0.14891041162227595</v>
      </c>
      <c r="G190" s="465" t="str">
        <f>IF(COUNTIF(B190:C198,""),"",IF($B$13="DR",IF(F190&lt;=0.06,"X",""),IF(F190&lt;=0.15,"X","")))</f>
        <v/>
      </c>
      <c r="H190" s="465" t="str">
        <f>IF(COUNTIF(B190:C198,""),"",IF($B$13="DR",IF(F190&gt;0.06,"X",""),IF(F190&gt;0.15,"X","")))</f>
        <v>X</v>
      </c>
      <c r="I190" s="5">
        <f t="shared" ref="I190:I198" si="23">COUNTIF(H190,"X")</f>
        <v>1</v>
      </c>
      <c r="J190" s="916"/>
      <c r="K190" s="916"/>
      <c r="L190" s="916"/>
      <c r="M190" s="929"/>
      <c r="N190" s="916"/>
      <c r="O190" s="916"/>
      <c r="P190" s="916"/>
      <c r="Q190" s="916"/>
      <c r="R190" s="916"/>
    </row>
    <row r="191" spans="1:18" ht="13.8" x14ac:dyDescent="0.3">
      <c r="A191" s="199">
        <v>2</v>
      </c>
      <c r="B191" s="193">
        <v>750</v>
      </c>
      <c r="C191" s="188">
        <v>10</v>
      </c>
      <c r="D191" s="464">
        <f>IF(COUNTIF(B190:C198,""),"",B191/C191)</f>
        <v>75</v>
      </c>
      <c r="E191" s="1643"/>
      <c r="F191" s="46">
        <f>IF(COUNTIF(B190:C198,""),"",+ABS(D191-E190)/E190)</f>
        <v>1.2106537530264798E-3</v>
      </c>
      <c r="G191" s="465" t="str">
        <f>IF(COUNTIF(B190:C198,""),"",IF($B$13="DR",IF(F191&lt;=0.06,"X",""),IF(F191&lt;=0.15,"X","")))</f>
        <v>X</v>
      </c>
      <c r="H191" s="465" t="str">
        <f>IF(COUNTIF(B190:C198,""),"",IF($B$13="DR",IF(F191&gt;0.06,"X",""),IF(F191&gt;0.15,"X","")))</f>
        <v/>
      </c>
      <c r="I191" s="5">
        <f t="shared" si="23"/>
        <v>0</v>
      </c>
      <c r="J191" s="916"/>
      <c r="K191" s="916"/>
      <c r="L191" s="916"/>
      <c r="M191" s="929"/>
      <c r="N191" s="916"/>
      <c r="O191" s="916"/>
      <c r="P191" s="916"/>
      <c r="Q191" s="916"/>
      <c r="R191" s="916"/>
    </row>
    <row r="192" spans="1:18" ht="13.8" x14ac:dyDescent="0.3">
      <c r="A192" s="199">
        <v>3</v>
      </c>
      <c r="B192" s="193">
        <v>950</v>
      </c>
      <c r="C192" s="188">
        <v>11</v>
      </c>
      <c r="D192" s="464">
        <f>IF(COUNTIF(B190:C198,""),"",B192/C192)</f>
        <v>86.36363636363636</v>
      </c>
      <c r="E192" s="1644"/>
      <c r="F192" s="46">
        <f>IF(COUNTIF(B190:C198,""),"",+ABS(D192-E190)/E190)</f>
        <v>0.15012106537530279</v>
      </c>
      <c r="G192" s="465" t="str">
        <f>IF(COUNTIF(B190:C198,""),"",IF($B$13="DR",IF(F192&lt;=0.06,"X",""),IF(F192&lt;=0.15,"X","")))</f>
        <v/>
      </c>
      <c r="H192" s="465" t="str">
        <f>IF(COUNTIF(B190:C198,""),"",IF($B$13="DR",IF(F192&gt;0.06,"X",""),IF(F192&gt;0.15,"X","")))</f>
        <v>X</v>
      </c>
      <c r="I192" s="5">
        <f t="shared" si="23"/>
        <v>1</v>
      </c>
      <c r="J192" s="916"/>
      <c r="K192" s="916"/>
      <c r="L192" s="916"/>
      <c r="M192" s="929"/>
      <c r="N192" s="916"/>
      <c r="O192" s="916"/>
      <c r="P192" s="916"/>
      <c r="Q192" s="916"/>
      <c r="R192" s="916"/>
    </row>
    <row r="193" spans="1:18" ht="13.8" x14ac:dyDescent="0.3">
      <c r="A193" s="199">
        <v>4</v>
      </c>
      <c r="B193" s="195">
        <v>1300</v>
      </c>
      <c r="C193" s="188">
        <v>10</v>
      </c>
      <c r="D193" s="464">
        <f>IF(COUNTIF(B190:C198,""),"",B193/C193)</f>
        <v>130</v>
      </c>
      <c r="E193" s="1642">
        <f>IF(COUNTIF(B190:C198,""),"",AVERAGE(D193:D195))</f>
        <v>126.06060606060606</v>
      </c>
      <c r="F193" s="46">
        <f>IF(COUNTIF(B190:C198,""),"",+ABS(D193-E193)/E193)</f>
        <v>3.1249999999999986E-2</v>
      </c>
      <c r="G193" s="465" t="str">
        <f>IF(COUNTIF(B190:C198,""),"",IF($B$13="DR",IF(F193&lt;=0.06,"X",""),IF(F193&lt;=0.15,"X","")))</f>
        <v>X</v>
      </c>
      <c r="H193" s="465" t="str">
        <f>IF(COUNTIF(B190:C198,""),"",IF($B$13="DR",IF(F193&gt;0.06,"X",""),IF(F193&gt;0.15,"X","")))</f>
        <v/>
      </c>
      <c r="I193" s="5">
        <f t="shared" si="23"/>
        <v>0</v>
      </c>
      <c r="J193" s="916"/>
      <c r="K193" s="916"/>
      <c r="L193" s="916"/>
      <c r="M193" s="929"/>
      <c r="N193" s="916"/>
      <c r="O193" s="916"/>
      <c r="P193" s="916"/>
      <c r="Q193" s="916"/>
      <c r="R193" s="916"/>
    </row>
    <row r="194" spans="1:18" ht="13.8" x14ac:dyDescent="0.3">
      <c r="A194" s="200">
        <v>5</v>
      </c>
      <c r="B194" s="196">
        <v>1300</v>
      </c>
      <c r="C194" s="188">
        <v>11</v>
      </c>
      <c r="D194" s="464">
        <f>IF(COUNTIF(B190:C198,""),"",B194/C194)</f>
        <v>118.18181818181819</v>
      </c>
      <c r="E194" s="1643"/>
      <c r="F194" s="46">
        <f>IF(COUNTIF(B190:C198,""),"",+ABS(D194-E193)/E193)</f>
        <v>6.2499999999999972E-2</v>
      </c>
      <c r="G194" s="465" t="str">
        <f>IF(COUNTIF(B190:C198,""),"",IF($B$13="DR",IF(F194&lt;=0.06,"X",""),IF(F194&lt;=0.15,"X","")))</f>
        <v/>
      </c>
      <c r="H194" s="465" t="str">
        <f>IF(COUNTIF(B190:C198,""),"",IF($B$13="DR",IF(F194&gt;0.06,"X",""),IF(F194&gt;0.15,"X","")))</f>
        <v>X</v>
      </c>
      <c r="I194" s="5">
        <f t="shared" si="23"/>
        <v>1</v>
      </c>
      <c r="J194" s="916"/>
      <c r="K194" s="916"/>
      <c r="L194" s="916" t="str">
        <f>B187</f>
        <v>cass#11</v>
      </c>
      <c r="M194" s="928" t="str">
        <f>E187</f>
        <v>24x30</v>
      </c>
      <c r="N194" s="927">
        <f>B194</f>
        <v>1300</v>
      </c>
      <c r="O194" s="927">
        <f>C194</f>
        <v>11</v>
      </c>
      <c r="P194" s="916"/>
      <c r="Q194" s="927">
        <f>D187</f>
        <v>74</v>
      </c>
      <c r="R194" s="916"/>
    </row>
    <row r="195" spans="1:18" ht="13.8" x14ac:dyDescent="0.3">
      <c r="A195" s="199">
        <v>6</v>
      </c>
      <c r="B195" s="196">
        <v>1300</v>
      </c>
      <c r="C195" s="188">
        <v>10</v>
      </c>
      <c r="D195" s="464">
        <f>IF(COUNTIF(B190:C198,""),"",B195/C195)</f>
        <v>130</v>
      </c>
      <c r="E195" s="1644"/>
      <c r="F195" s="46">
        <f>IF(COUNTIF(B190:C198,""),"",+ABS(D195-E193)/E193)</f>
        <v>3.1249999999999986E-2</v>
      </c>
      <c r="G195" s="465" t="str">
        <f>IF(COUNTIF(B190:C198,""),"",IF($B$13="DR",IF(F195&lt;=0.06,"X",""),IF(F195&lt;=0.15,"X","")))</f>
        <v>X</v>
      </c>
      <c r="H195" s="465" t="str">
        <f>IF(COUNTIF(B190:C198,""),"",IF($B$13="DR",IF(F195&gt;0.06,"X",""),IF(F195&gt;0.15,"X","")))</f>
        <v/>
      </c>
      <c r="I195" s="5">
        <f t="shared" si="23"/>
        <v>0</v>
      </c>
      <c r="J195" s="916"/>
      <c r="K195" s="916"/>
      <c r="L195" s="916"/>
      <c r="M195" s="929"/>
      <c r="N195" s="916"/>
      <c r="O195" s="916"/>
      <c r="P195" s="916"/>
      <c r="Q195" s="916"/>
      <c r="R195" s="916"/>
    </row>
    <row r="196" spans="1:18" ht="13.8" x14ac:dyDescent="0.3">
      <c r="A196" s="200">
        <v>7</v>
      </c>
      <c r="B196" s="196">
        <v>900</v>
      </c>
      <c r="C196" s="188">
        <v>10</v>
      </c>
      <c r="D196" s="464">
        <f>IF(COUNTIF(B190:C198,""),"",B196/C196)</f>
        <v>90</v>
      </c>
      <c r="E196" s="1642">
        <f>IF(COUNTIF(B190:C198,""),"",AVERAGE(D196:D198))</f>
        <v>114.24242424242425</v>
      </c>
      <c r="F196" s="46">
        <f>IF(COUNTIF(B190:C198,""),"",+ABS(D196-E196)/E196)</f>
        <v>0.21220159151193638</v>
      </c>
      <c r="G196" s="465" t="str">
        <f>IF(COUNTIF(B190:C198,""),"",IF($B$13="DR",IF(F196&lt;=0.06,"X",""),IF(F196&lt;=0.15,"X","")))</f>
        <v/>
      </c>
      <c r="H196" s="465" t="str">
        <f>IF(COUNTIF(B190:C198,""),"",IF($B$13="DR",IF(F196&gt;0.06,"X",""),IF(F196&gt;0.15,"X","")))</f>
        <v>X</v>
      </c>
      <c r="I196" s="5">
        <f t="shared" si="23"/>
        <v>1</v>
      </c>
      <c r="J196" s="916"/>
      <c r="K196" s="916"/>
      <c r="L196" s="916"/>
      <c r="M196" s="929"/>
      <c r="N196" s="916"/>
      <c r="O196" s="916"/>
      <c r="P196" s="916"/>
      <c r="Q196" s="916"/>
      <c r="R196" s="916"/>
    </row>
    <row r="197" spans="1:18" ht="13.8" x14ac:dyDescent="0.3">
      <c r="A197" s="201">
        <v>8</v>
      </c>
      <c r="B197" s="196">
        <v>1350</v>
      </c>
      <c r="C197" s="188">
        <v>11</v>
      </c>
      <c r="D197" s="464">
        <f>IF(COUNTIF(B190:C198,""),"",B197/C197)</f>
        <v>122.72727272727273</v>
      </c>
      <c r="E197" s="1643"/>
      <c r="F197" s="46">
        <f>IF(COUNTIF(B190:C198,""),"",+ABS(D197-E196)/E196)</f>
        <v>7.4270557029177717E-2</v>
      </c>
      <c r="G197" s="465" t="str">
        <f>IF(COUNTIF(B190:C198,""),"",IF($B$13="DR",IF(F197&lt;=0.06,"X",""),IF(F197&lt;=0.15,"X","")))</f>
        <v/>
      </c>
      <c r="H197" s="465" t="str">
        <f>IF(COUNTIF(B190:C198,""),"",IF($B$13="DR",IF(F197&gt;0.06,"X",""),IF(F197&gt;0.15,"X","")))</f>
        <v>X</v>
      </c>
      <c r="I197" s="5">
        <f t="shared" si="23"/>
        <v>1</v>
      </c>
      <c r="J197" s="916"/>
      <c r="K197" s="916"/>
      <c r="L197" s="916"/>
      <c r="M197" s="929"/>
      <c r="N197" s="916"/>
      <c r="O197" s="916"/>
      <c r="P197" s="916"/>
      <c r="Q197" s="916"/>
      <c r="R197" s="916"/>
    </row>
    <row r="198" spans="1:18" ht="13.8" x14ac:dyDescent="0.3">
      <c r="A198" s="180">
        <v>9</v>
      </c>
      <c r="B198" s="196">
        <v>1300</v>
      </c>
      <c r="C198" s="188">
        <v>10</v>
      </c>
      <c r="D198" s="464">
        <f>IF(COUNTIF(B190:C198,""),"",B198/C198)</f>
        <v>130</v>
      </c>
      <c r="E198" s="1644"/>
      <c r="F198" s="46">
        <f>IF(COUNTIF(B190:C198,""),"",+ABS(D198-E196)/E196)</f>
        <v>0.13793103448275856</v>
      </c>
      <c r="G198" s="465" t="str">
        <f>IF(COUNTIF(B190:C198,""),"",IF($B$13="DR",IF(F198&lt;=0.06,"X",""),IF(F198&lt;=0.15,"X","")))</f>
        <v/>
      </c>
      <c r="H198" s="465" t="str">
        <f>IF(COUNTIF(B190:C198,""),"",IF($B$13="DR",IF(F198&gt;0.06,"X",""),IF(F198&gt;0.15,"X","")))</f>
        <v>X</v>
      </c>
      <c r="I198" s="5">
        <f t="shared" si="23"/>
        <v>1</v>
      </c>
      <c r="J198" s="916"/>
      <c r="K198" s="916"/>
      <c r="L198" s="916"/>
      <c r="M198" s="929"/>
      <c r="N198" s="916"/>
      <c r="O198" s="916"/>
      <c r="P198" s="916"/>
      <c r="Q198" s="916"/>
      <c r="R198" s="916"/>
    </row>
    <row r="199" spans="1:18" ht="13.8" x14ac:dyDescent="0.3">
      <c r="F199" s="877"/>
      <c r="J199" s="916"/>
      <c r="K199" s="916"/>
      <c r="L199" s="916"/>
      <c r="M199" s="929"/>
      <c r="N199" s="916"/>
      <c r="O199" s="916"/>
      <c r="P199" s="916"/>
      <c r="Q199" s="916"/>
      <c r="R199" s="916"/>
    </row>
    <row r="200" spans="1:18" ht="13.8" x14ac:dyDescent="0.3">
      <c r="A200" s="563" t="s">
        <v>805</v>
      </c>
      <c r="B200" s="192" t="s">
        <v>660</v>
      </c>
      <c r="C200" s="563" t="s">
        <v>585</v>
      </c>
      <c r="D200" s="192">
        <v>72</v>
      </c>
      <c r="E200" s="191" t="s">
        <v>142</v>
      </c>
      <c r="F200" s="878"/>
      <c r="G200" s="176"/>
      <c r="H200" s="176"/>
      <c r="J200" s="916"/>
      <c r="K200" s="916"/>
      <c r="L200" s="916"/>
      <c r="M200" s="929"/>
      <c r="N200" s="916"/>
      <c r="O200" s="916"/>
      <c r="P200" s="916"/>
      <c r="Q200" s="916"/>
      <c r="R200" s="916"/>
    </row>
    <row r="201" spans="1:18" ht="13.8" x14ac:dyDescent="0.3">
      <c r="A201" s="549" t="s">
        <v>144</v>
      </c>
      <c r="B201" s="457" t="s">
        <v>161</v>
      </c>
      <c r="C201" s="457" t="s">
        <v>145</v>
      </c>
      <c r="D201" s="548" t="s">
        <v>146</v>
      </c>
      <c r="E201" s="1640" t="s">
        <v>147</v>
      </c>
      <c r="F201" s="879" t="s">
        <v>148</v>
      </c>
      <c r="G201" s="1518" t="s">
        <v>15</v>
      </c>
      <c r="H201" s="1518"/>
      <c r="I201" s="495"/>
      <c r="J201" s="916"/>
      <c r="K201" s="916"/>
      <c r="L201" s="916"/>
      <c r="M201" s="929"/>
      <c r="N201" s="916"/>
      <c r="O201" s="916"/>
      <c r="P201" s="916"/>
      <c r="Q201" s="916"/>
      <c r="R201" s="916"/>
    </row>
    <row r="202" spans="1:18" ht="13.8" x14ac:dyDescent="0.3">
      <c r="A202" s="459" t="s">
        <v>149</v>
      </c>
      <c r="B202" s="460" t="s">
        <v>150</v>
      </c>
      <c r="C202" s="461" t="s">
        <v>156</v>
      </c>
      <c r="D202" s="462" t="s">
        <v>157</v>
      </c>
      <c r="E202" s="1641"/>
      <c r="F202" s="880" t="s">
        <v>152</v>
      </c>
      <c r="G202" s="534" t="s">
        <v>16</v>
      </c>
      <c r="H202" s="534" t="s">
        <v>17</v>
      </c>
      <c r="I202" s="495"/>
      <c r="J202" s="916"/>
      <c r="K202" s="916"/>
      <c r="L202" s="916"/>
      <c r="M202" s="929"/>
      <c r="N202" s="916"/>
      <c r="O202" s="916"/>
      <c r="P202" s="916"/>
      <c r="Q202" s="916"/>
      <c r="R202" s="916"/>
    </row>
    <row r="203" spans="1:18" ht="13.8" x14ac:dyDescent="0.3">
      <c r="A203" s="198">
        <v>1</v>
      </c>
      <c r="B203" s="193">
        <v>703</v>
      </c>
      <c r="C203" s="188">
        <v>11</v>
      </c>
      <c r="D203" s="464">
        <f>IF(COUNTIF(B203:C211,""),"",B203/C203)</f>
        <v>63.909090909090907</v>
      </c>
      <c r="E203" s="1642">
        <f>IF(COUNTIF(B203:C211,""),"",AVERAGE(D203:D205))</f>
        <v>75.090909090909079</v>
      </c>
      <c r="F203" s="46">
        <f>IF(COUNTIF(B203:C211,""),"",+ABS(D203-E203)/E203)</f>
        <v>0.14891041162227595</v>
      </c>
      <c r="G203" s="465" t="str">
        <f>IF(COUNTIF(B203:C211,""),"",IF($B$13="DR",IF(F203&lt;=0.06,"X",""),IF(F203&lt;=0.15,"X","")))</f>
        <v/>
      </c>
      <c r="H203" s="465" t="str">
        <f>IF(COUNTIF(B203:C211,""),"",IF($B$13="DR",IF(F203&gt;0.06,"X",""),IF(F203&gt;0.15,"X","")))</f>
        <v>X</v>
      </c>
      <c r="I203" s="5">
        <f t="shared" ref="I203:I211" si="24">COUNTIF(H203,"X")</f>
        <v>1</v>
      </c>
      <c r="J203" s="916"/>
      <c r="K203" s="916"/>
      <c r="L203" s="916"/>
      <c r="M203" s="929"/>
      <c r="N203" s="916"/>
      <c r="O203" s="916"/>
      <c r="P203" s="916"/>
      <c r="Q203" s="916"/>
      <c r="R203" s="916"/>
    </row>
    <row r="204" spans="1:18" ht="13.8" x14ac:dyDescent="0.3">
      <c r="A204" s="199">
        <v>2</v>
      </c>
      <c r="B204" s="193">
        <v>750</v>
      </c>
      <c r="C204" s="188">
        <v>10</v>
      </c>
      <c r="D204" s="464">
        <f>IF(COUNTIF(B203:C211,""),"",B204/C204)</f>
        <v>75</v>
      </c>
      <c r="E204" s="1643"/>
      <c r="F204" s="46">
        <f>IF(COUNTIF(B203:C211,""),"",+ABS(D204-E203)/E203)</f>
        <v>1.2106537530264798E-3</v>
      </c>
      <c r="G204" s="465" t="str">
        <f>IF(COUNTIF(B203:C211,""),"",IF($B$13="DR",IF(F204&lt;=0.06,"X",""),IF(F204&lt;=0.15,"X","")))</f>
        <v>X</v>
      </c>
      <c r="H204" s="465" t="str">
        <f>IF(COUNTIF(B203:C211,""),"",IF($B$13="DR",IF(F204&gt;0.06,"X",""),IF(F204&gt;0.15,"X","")))</f>
        <v/>
      </c>
      <c r="I204" s="5">
        <f t="shared" si="24"/>
        <v>0</v>
      </c>
      <c r="J204" s="916"/>
      <c r="K204" s="916"/>
      <c r="L204" s="916"/>
      <c r="M204" s="929"/>
      <c r="N204" s="916"/>
      <c r="O204" s="916"/>
      <c r="P204" s="916"/>
      <c r="Q204" s="916"/>
      <c r="R204" s="916"/>
    </row>
    <row r="205" spans="1:18" ht="13.8" x14ac:dyDescent="0.3">
      <c r="A205" s="199">
        <v>3</v>
      </c>
      <c r="B205" s="193">
        <v>950</v>
      </c>
      <c r="C205" s="188">
        <v>11</v>
      </c>
      <c r="D205" s="464">
        <f>IF(COUNTIF(B203:C211,""),"",B205/C205)</f>
        <v>86.36363636363636</v>
      </c>
      <c r="E205" s="1644"/>
      <c r="F205" s="46">
        <f>IF(COUNTIF(B203:C211,""),"",+ABS(D205-E203)/E203)</f>
        <v>0.15012106537530279</v>
      </c>
      <c r="G205" s="465" t="str">
        <f>IF(COUNTIF(B203:C211,""),"",IF($B$13="DR",IF(F205&lt;=0.06,"X",""),IF(F205&lt;=0.15,"X","")))</f>
        <v/>
      </c>
      <c r="H205" s="465" t="str">
        <f>IF(COUNTIF(B203:C211,""),"",IF($B$13="DR",IF(F205&gt;0.06,"X",""),IF(F205&gt;0.15,"X","")))</f>
        <v>X</v>
      </c>
      <c r="I205" s="5">
        <f t="shared" si="24"/>
        <v>1</v>
      </c>
      <c r="J205" s="916"/>
      <c r="K205" s="916"/>
      <c r="L205" s="916"/>
      <c r="M205" s="929"/>
      <c r="N205" s="916"/>
      <c r="O205" s="916"/>
      <c r="P205" s="916"/>
      <c r="Q205" s="916"/>
      <c r="R205" s="916"/>
    </row>
    <row r="206" spans="1:18" ht="13.8" x14ac:dyDescent="0.3">
      <c r="A206" s="199">
        <v>4</v>
      </c>
      <c r="B206" s="195">
        <v>1250</v>
      </c>
      <c r="C206" s="188">
        <v>10</v>
      </c>
      <c r="D206" s="464">
        <f>IF(COUNTIF(B203:C211,""),"",B206/C206)</f>
        <v>125</v>
      </c>
      <c r="E206" s="1642">
        <f>IF(COUNTIF(B203:C211,""),"",AVERAGE(D206:D208))</f>
        <v>133.4848484848485</v>
      </c>
      <c r="F206" s="46">
        <f>IF(COUNTIF(B203:C211,""),"",+ABS(D206-E206)/E206)</f>
        <v>6.3564131668558552E-2</v>
      </c>
      <c r="G206" s="465" t="str">
        <f>IF(COUNTIF(B203:C211,""),"",IF($B$13="DR",IF(F206&lt;=0.06,"X",""),IF(F206&lt;=0.15,"X","")))</f>
        <v/>
      </c>
      <c r="H206" s="465" t="str">
        <f>IF(COUNTIF(B203:C211,""),"",IF($B$13="DR",IF(F206&gt;0.06,"X",""),IF(F206&gt;0.15,"X","")))</f>
        <v>X</v>
      </c>
      <c r="I206" s="5">
        <f t="shared" si="24"/>
        <v>1</v>
      </c>
      <c r="J206" s="916"/>
      <c r="K206" s="916"/>
      <c r="L206" s="916"/>
      <c r="M206" s="929"/>
      <c r="N206" s="916"/>
      <c r="O206" s="916"/>
      <c r="P206" s="916"/>
      <c r="Q206" s="916"/>
      <c r="R206" s="916"/>
    </row>
    <row r="207" spans="1:18" ht="13.8" x14ac:dyDescent="0.3">
      <c r="A207" s="200">
        <v>5</v>
      </c>
      <c r="B207" s="196">
        <v>1600</v>
      </c>
      <c r="C207" s="188">
        <v>11</v>
      </c>
      <c r="D207" s="464">
        <f>IF(COUNTIF(B203:C211,""),"",B207/C207)</f>
        <v>145.45454545454547</v>
      </c>
      <c r="E207" s="1643"/>
      <c r="F207" s="46">
        <f>IF(COUNTIF(B203:C211,""),"",+ABS(D207-E206)/E206)</f>
        <v>8.9670828603859234E-2</v>
      </c>
      <c r="G207" s="465" t="str">
        <f>IF(COUNTIF(B203:C211,""),"",IF($B$13="DR",IF(F207&lt;=0.06,"X",""),IF(F207&lt;=0.15,"X","")))</f>
        <v/>
      </c>
      <c r="H207" s="465" t="str">
        <f>IF(COUNTIF(B203:C211,""),"",IF($B$13="DR",IF(F207&gt;0.06,"X",""),IF(F207&gt;0.15,"X","")))</f>
        <v>X</v>
      </c>
      <c r="I207" s="5">
        <f t="shared" si="24"/>
        <v>1</v>
      </c>
      <c r="J207" s="916"/>
      <c r="K207" s="916"/>
      <c r="L207" s="916" t="str">
        <f>B200</f>
        <v>cass#12</v>
      </c>
      <c r="M207" s="928" t="str">
        <f>E200</f>
        <v>18x24</v>
      </c>
      <c r="N207" s="927">
        <f>B207</f>
        <v>1600</v>
      </c>
      <c r="O207" s="927">
        <f>C207</f>
        <v>11</v>
      </c>
      <c r="P207" s="916"/>
      <c r="Q207" s="927">
        <f>D200</f>
        <v>72</v>
      </c>
      <c r="R207" s="916"/>
    </row>
    <row r="208" spans="1:18" ht="13.8" x14ac:dyDescent="0.3">
      <c r="A208" s="199">
        <v>6</v>
      </c>
      <c r="B208" s="196">
        <v>1300</v>
      </c>
      <c r="C208" s="188">
        <v>10</v>
      </c>
      <c r="D208" s="464">
        <f>IF(COUNTIF(B203:C211,""),"",B208/C208)</f>
        <v>130</v>
      </c>
      <c r="E208" s="1644"/>
      <c r="F208" s="46">
        <f>IF(COUNTIF(B203:C211,""),"",+ABS(D208-E206)/E206)</f>
        <v>2.6106696935300894E-2</v>
      </c>
      <c r="G208" s="465" t="str">
        <f>IF(COUNTIF(B203:C211,""),"",IF($B$13="DR",IF(F208&lt;=0.06,"X",""),IF(F208&lt;=0.15,"X","")))</f>
        <v>X</v>
      </c>
      <c r="H208" s="465" t="str">
        <f>IF(COUNTIF(B203:C211,""),"",IF($B$13="DR",IF(F208&gt;0.06,"X",""),IF(F208&gt;0.15,"X","")))</f>
        <v/>
      </c>
      <c r="I208" s="5">
        <f t="shared" si="24"/>
        <v>0</v>
      </c>
      <c r="J208" s="916"/>
      <c r="K208" s="916"/>
      <c r="L208" s="916"/>
      <c r="M208" s="929"/>
      <c r="N208" s="916"/>
      <c r="O208" s="916"/>
      <c r="P208" s="916"/>
      <c r="Q208" s="916"/>
      <c r="R208" s="916"/>
    </row>
    <row r="209" spans="1:18" ht="13.8" x14ac:dyDescent="0.3">
      <c r="A209" s="200">
        <v>7</v>
      </c>
      <c r="B209" s="196">
        <v>900</v>
      </c>
      <c r="C209" s="188">
        <v>10</v>
      </c>
      <c r="D209" s="464">
        <f>IF(COUNTIF(B203:C211,""),"",B209/C209)</f>
        <v>90</v>
      </c>
      <c r="E209" s="1642">
        <f>IF(COUNTIF(B203:C211,""),"",AVERAGE(D209:D211))</f>
        <v>114.24242424242425</v>
      </c>
      <c r="F209" s="46">
        <f>IF(COUNTIF(B203:C211,""),"",+ABS(D209-E209)/E209)</f>
        <v>0.21220159151193638</v>
      </c>
      <c r="G209" s="465" t="str">
        <f>IF(COUNTIF(B203:C211,""),"",IF($B$13="DR",IF(F209&lt;=0.06,"X",""),IF(F209&lt;=0.15,"X","")))</f>
        <v/>
      </c>
      <c r="H209" s="465" t="str">
        <f>IF(COUNTIF(B203:C211,""),"",IF($B$13="DR",IF(F209&gt;0.06,"X",""),IF(F209&gt;0.15,"X","")))</f>
        <v>X</v>
      </c>
      <c r="I209" s="5">
        <f t="shared" si="24"/>
        <v>1</v>
      </c>
      <c r="J209" s="916"/>
      <c r="K209" s="916"/>
      <c r="L209" s="916"/>
      <c r="M209" s="929"/>
      <c r="N209" s="916"/>
      <c r="O209" s="916"/>
      <c r="P209" s="916"/>
      <c r="Q209" s="916"/>
      <c r="R209" s="916"/>
    </row>
    <row r="210" spans="1:18" ht="13.8" x14ac:dyDescent="0.3">
      <c r="A210" s="201">
        <v>8</v>
      </c>
      <c r="B210" s="196">
        <v>1350</v>
      </c>
      <c r="C210" s="188">
        <v>11</v>
      </c>
      <c r="D210" s="464">
        <f>IF(COUNTIF(B203:C211,""),"",B210/C210)</f>
        <v>122.72727272727273</v>
      </c>
      <c r="E210" s="1643"/>
      <c r="F210" s="46">
        <f>IF(COUNTIF(B203:C211,""),"",+ABS(D210-E209)/E209)</f>
        <v>7.4270557029177717E-2</v>
      </c>
      <c r="G210" s="465" t="str">
        <f>IF(COUNTIF(B203:C211,""),"",IF($B$13="DR",IF(F210&lt;=0.06,"X",""),IF(F210&lt;=0.15,"X","")))</f>
        <v/>
      </c>
      <c r="H210" s="465" t="str">
        <f>IF(COUNTIF(B203:C211,""),"",IF($B$13="DR",IF(F210&gt;0.06,"X",""),IF(F210&gt;0.15,"X","")))</f>
        <v>X</v>
      </c>
      <c r="I210" s="5">
        <f t="shared" si="24"/>
        <v>1</v>
      </c>
      <c r="J210" s="916"/>
      <c r="K210" s="916"/>
      <c r="L210" s="916"/>
      <c r="M210" s="929"/>
      <c r="N210" s="916"/>
      <c r="O210" s="916"/>
      <c r="P210" s="916"/>
      <c r="Q210" s="916"/>
      <c r="R210" s="916"/>
    </row>
    <row r="211" spans="1:18" ht="13.8" x14ac:dyDescent="0.3">
      <c r="A211" s="180">
        <v>9</v>
      </c>
      <c r="B211" s="196">
        <v>1300</v>
      </c>
      <c r="C211" s="188">
        <v>10</v>
      </c>
      <c r="D211" s="464">
        <f>IF(COUNTIF(B203:C211,""),"",B211/C211)</f>
        <v>130</v>
      </c>
      <c r="E211" s="1644"/>
      <c r="F211" s="46">
        <f>IF(COUNTIF(B203:C211,""),"",+ABS(D211-E209)/E209)</f>
        <v>0.13793103448275856</v>
      </c>
      <c r="G211" s="465" t="str">
        <f>IF(COUNTIF(B203:C211,""),"",IF($B$13="DR",IF(F211&lt;=0.06,"X",""),IF(F211&lt;=0.15,"X","")))</f>
        <v/>
      </c>
      <c r="H211" s="465" t="str">
        <f>IF(COUNTIF(B203:C211,""),"",IF($B$13="DR",IF(F211&gt;0.06,"X",""),IF(F211&gt;0.15,"X","")))</f>
        <v>X</v>
      </c>
      <c r="I211" s="5">
        <f t="shared" si="24"/>
        <v>1</v>
      </c>
      <c r="J211" s="916"/>
      <c r="K211" s="916"/>
      <c r="L211" s="916"/>
      <c r="M211" s="929"/>
      <c r="N211" s="916"/>
      <c r="O211" s="916"/>
      <c r="P211" s="916"/>
      <c r="Q211" s="916"/>
      <c r="R211" s="916"/>
    </row>
    <row r="212" spans="1:18" ht="13.8" x14ac:dyDescent="0.3">
      <c r="F212" s="877"/>
      <c r="J212" s="916"/>
      <c r="K212" s="916"/>
      <c r="L212" s="916"/>
      <c r="M212" s="929"/>
      <c r="N212" s="916"/>
      <c r="O212" s="916"/>
      <c r="P212" s="916"/>
      <c r="Q212" s="916"/>
      <c r="R212" s="916"/>
    </row>
    <row r="213" spans="1:18" ht="13.8" x14ac:dyDescent="0.3">
      <c r="A213" s="563" t="s">
        <v>805</v>
      </c>
      <c r="B213" s="192" t="s">
        <v>661</v>
      </c>
      <c r="C213" s="563" t="s">
        <v>585</v>
      </c>
      <c r="D213" s="192">
        <v>74</v>
      </c>
      <c r="E213" s="191" t="s">
        <v>143</v>
      </c>
      <c r="F213" s="878"/>
      <c r="G213" s="176"/>
      <c r="H213" s="176"/>
      <c r="J213" s="916"/>
      <c r="K213" s="916"/>
      <c r="L213" s="916"/>
      <c r="M213" s="929"/>
      <c r="N213" s="916"/>
      <c r="O213" s="916"/>
      <c r="P213" s="916"/>
      <c r="Q213" s="916"/>
      <c r="R213" s="916"/>
    </row>
    <row r="214" spans="1:18" ht="13.8" x14ac:dyDescent="0.3">
      <c r="A214" s="549" t="s">
        <v>144</v>
      </c>
      <c r="B214" s="457" t="s">
        <v>161</v>
      </c>
      <c r="C214" s="457" t="s">
        <v>145</v>
      </c>
      <c r="D214" s="548" t="s">
        <v>146</v>
      </c>
      <c r="E214" s="1640" t="s">
        <v>147</v>
      </c>
      <c r="F214" s="879" t="s">
        <v>148</v>
      </c>
      <c r="G214" s="1518" t="s">
        <v>15</v>
      </c>
      <c r="H214" s="1518"/>
      <c r="I214" s="495"/>
      <c r="J214" s="916"/>
      <c r="K214" s="916"/>
      <c r="L214" s="916"/>
      <c r="M214" s="929"/>
      <c r="N214" s="916"/>
      <c r="O214" s="916"/>
      <c r="P214" s="916"/>
      <c r="Q214" s="916"/>
      <c r="R214" s="916"/>
    </row>
    <row r="215" spans="1:18" ht="13.8" x14ac:dyDescent="0.3">
      <c r="A215" s="459" t="s">
        <v>149</v>
      </c>
      <c r="B215" s="460" t="s">
        <v>150</v>
      </c>
      <c r="C215" s="461" t="s">
        <v>156</v>
      </c>
      <c r="D215" s="462" t="s">
        <v>157</v>
      </c>
      <c r="E215" s="1641"/>
      <c r="F215" s="880" t="s">
        <v>152</v>
      </c>
      <c r="G215" s="534" t="s">
        <v>16</v>
      </c>
      <c r="H215" s="534" t="s">
        <v>17</v>
      </c>
      <c r="I215" s="495"/>
      <c r="J215" s="916"/>
      <c r="K215" s="916"/>
      <c r="L215" s="916"/>
      <c r="M215" s="929"/>
      <c r="N215" s="916"/>
      <c r="O215" s="916"/>
      <c r="P215" s="916"/>
      <c r="Q215" s="916"/>
      <c r="R215" s="916"/>
    </row>
    <row r="216" spans="1:18" ht="13.8" x14ac:dyDescent="0.3">
      <c r="A216" s="198">
        <v>1</v>
      </c>
      <c r="B216" s="193">
        <v>703</v>
      </c>
      <c r="C216" s="188">
        <v>11</v>
      </c>
      <c r="D216" s="464">
        <f>IF(COUNTIF(B216:C224,""),"",B216/C216)</f>
        <v>63.909090909090907</v>
      </c>
      <c r="E216" s="1642">
        <f>IF(COUNTIF(B216:C224,""),"",AVERAGE(D216:D218))</f>
        <v>75.090909090909079</v>
      </c>
      <c r="F216" s="46">
        <f>IF(COUNTIF(B216:C224,""),"",+ABS(D216-E216)/E216)</f>
        <v>0.14891041162227595</v>
      </c>
      <c r="G216" s="465" t="str">
        <f>IF(COUNTIF(B216:C224,""),"",IF($B$13="DR",IF(F216&lt;=0.06,"X",""),IF(F216&lt;=0.15,"X","")))</f>
        <v/>
      </c>
      <c r="H216" s="465" t="str">
        <f>IF(COUNTIF(B216:C224,""),"",IF($B$13="DR",IF(F216&gt;0.06,"X",""),IF(F216&gt;0.15,"X","")))</f>
        <v>X</v>
      </c>
      <c r="I216" s="5">
        <f t="shared" ref="I216:I224" si="25">COUNTIF(H216,"X")</f>
        <v>1</v>
      </c>
      <c r="J216" s="916"/>
      <c r="K216" s="916"/>
      <c r="L216" s="916"/>
      <c r="M216" s="929"/>
      <c r="N216" s="916"/>
      <c r="O216" s="916"/>
      <c r="P216" s="916"/>
      <c r="Q216" s="916"/>
      <c r="R216" s="916"/>
    </row>
    <row r="217" spans="1:18" ht="13.8" x14ac:dyDescent="0.3">
      <c r="A217" s="199">
        <v>2</v>
      </c>
      <c r="B217" s="193">
        <v>750</v>
      </c>
      <c r="C217" s="188">
        <v>10</v>
      </c>
      <c r="D217" s="464">
        <f>IF(COUNTIF(B216:C224,""),"",B217/C217)</f>
        <v>75</v>
      </c>
      <c r="E217" s="1643"/>
      <c r="F217" s="46">
        <f>IF(COUNTIF(B216:C224,""),"",+ABS(D217-E216)/E216)</f>
        <v>1.2106537530264798E-3</v>
      </c>
      <c r="G217" s="465" t="str">
        <f>IF(COUNTIF(B216:C224,""),"",IF($B$13="DR",IF(F217&lt;=0.06,"X",""),IF(F217&lt;=0.15,"X","")))</f>
        <v>X</v>
      </c>
      <c r="H217" s="465" t="str">
        <f>IF(COUNTIF(B216:C224,""),"",IF($B$13="DR",IF(F217&gt;0.06,"X",""),IF(F217&gt;0.15,"X","")))</f>
        <v/>
      </c>
      <c r="I217" s="5">
        <f t="shared" si="25"/>
        <v>0</v>
      </c>
      <c r="J217" s="916"/>
      <c r="K217" s="916"/>
      <c r="L217" s="916"/>
      <c r="M217" s="929"/>
      <c r="N217" s="916"/>
      <c r="O217" s="916"/>
      <c r="P217" s="916"/>
      <c r="Q217" s="916"/>
      <c r="R217" s="916"/>
    </row>
    <row r="218" spans="1:18" ht="13.8" x14ac:dyDescent="0.3">
      <c r="A218" s="199">
        <v>3</v>
      </c>
      <c r="B218" s="193">
        <v>950</v>
      </c>
      <c r="C218" s="188">
        <v>11</v>
      </c>
      <c r="D218" s="464">
        <f>IF(COUNTIF(B216:C224,""),"",B218/C218)</f>
        <v>86.36363636363636</v>
      </c>
      <c r="E218" s="1644"/>
      <c r="F218" s="46">
        <f>IF(COUNTIF(B216:C224,""),"",+ABS(D218-E216)/E216)</f>
        <v>0.15012106537530279</v>
      </c>
      <c r="G218" s="465" t="str">
        <f>IF(COUNTIF(B216:C224,""),"",IF($B$13="DR",IF(F218&lt;=0.06,"X",""),IF(F218&lt;=0.15,"X","")))</f>
        <v/>
      </c>
      <c r="H218" s="465" t="str">
        <f>IF(COUNTIF(B216:C224,""),"",IF($B$13="DR",IF(F218&gt;0.06,"X",""),IF(F218&gt;0.15,"X","")))</f>
        <v>X</v>
      </c>
      <c r="I218" s="5">
        <f t="shared" si="25"/>
        <v>1</v>
      </c>
      <c r="J218" s="916"/>
      <c r="K218" s="916"/>
      <c r="L218" s="916"/>
      <c r="M218" s="929"/>
      <c r="N218" s="916"/>
      <c r="O218" s="916"/>
      <c r="P218" s="916"/>
      <c r="Q218" s="916"/>
      <c r="R218" s="916"/>
    </row>
    <row r="219" spans="1:18" ht="13.8" x14ac:dyDescent="0.3">
      <c r="A219" s="199">
        <v>4</v>
      </c>
      <c r="B219" s="195">
        <v>1300</v>
      </c>
      <c r="C219" s="188">
        <v>10</v>
      </c>
      <c r="D219" s="464">
        <f>IF(COUNTIF(B216:C224,""),"",B219/C219)</f>
        <v>130</v>
      </c>
      <c r="E219" s="1642">
        <f>IF(COUNTIF(B216:C224,""),"",AVERAGE(D219:D221))</f>
        <v>135.15151515151516</v>
      </c>
      <c r="F219" s="46">
        <f>IF(COUNTIF(B216:C224,""),"",+ABS(D219-E219)/E219)</f>
        <v>3.8116591928251155E-2</v>
      </c>
      <c r="G219" s="465" t="str">
        <f>IF(COUNTIF(B216:C224,""),"",IF($B$13="DR",IF(F219&lt;=0.06,"X",""),IF(F219&lt;=0.15,"X","")))</f>
        <v>X</v>
      </c>
      <c r="H219" s="465" t="str">
        <f>IF(COUNTIF(B216:C224,""),"",IF($B$13="DR",IF(F219&gt;0.06,"X",""),IF(F219&gt;0.15,"X","")))</f>
        <v/>
      </c>
      <c r="I219" s="5">
        <f t="shared" si="25"/>
        <v>0</v>
      </c>
      <c r="J219" s="916"/>
      <c r="K219" s="916"/>
      <c r="L219" s="916"/>
      <c r="M219" s="929"/>
      <c r="N219" s="916"/>
      <c r="O219" s="916"/>
      <c r="P219" s="916"/>
      <c r="Q219" s="916"/>
      <c r="R219" s="916"/>
    </row>
    <row r="220" spans="1:18" ht="13.8" x14ac:dyDescent="0.3">
      <c r="A220" s="200">
        <v>5</v>
      </c>
      <c r="B220" s="196">
        <v>1600</v>
      </c>
      <c r="C220" s="188">
        <v>11</v>
      </c>
      <c r="D220" s="464">
        <f>IF(COUNTIF(B216:C224,""),"",B220/C220)</f>
        <v>145.45454545454547</v>
      </c>
      <c r="E220" s="1643"/>
      <c r="F220" s="46">
        <f>IF(COUNTIF(B216:C224,""),"",+ABS(D220-E219)/E219)</f>
        <v>7.623318385650231E-2</v>
      </c>
      <c r="G220" s="465" t="str">
        <f>IF(COUNTIF(B216:C224,""),"",IF($B$13="DR",IF(F220&lt;=0.06,"X",""),IF(F220&lt;=0.15,"X","")))</f>
        <v/>
      </c>
      <c r="H220" s="465" t="str">
        <f>IF(COUNTIF(B216:C224,""),"",IF($B$13="DR",IF(F220&gt;0.06,"X",""),IF(F220&gt;0.15,"X","")))</f>
        <v>X</v>
      </c>
      <c r="I220" s="5">
        <f t="shared" si="25"/>
        <v>1</v>
      </c>
      <c r="J220" s="916"/>
      <c r="K220" s="916"/>
      <c r="L220" s="916" t="str">
        <f>B213</f>
        <v>cass#13</v>
      </c>
      <c r="M220" s="928" t="str">
        <f>E213</f>
        <v>24x30</v>
      </c>
      <c r="N220" s="927">
        <f>B220</f>
        <v>1600</v>
      </c>
      <c r="O220" s="927">
        <f>C220</f>
        <v>11</v>
      </c>
      <c r="P220" s="916"/>
      <c r="Q220" s="927">
        <f>D213</f>
        <v>74</v>
      </c>
      <c r="R220" s="916"/>
    </row>
    <row r="221" spans="1:18" ht="13.8" x14ac:dyDescent="0.3">
      <c r="A221" s="199">
        <v>6</v>
      </c>
      <c r="B221" s="196">
        <v>1300</v>
      </c>
      <c r="C221" s="188">
        <v>10</v>
      </c>
      <c r="D221" s="464">
        <f>IF(COUNTIF(B216:C224,""),"",B221/C221)</f>
        <v>130</v>
      </c>
      <c r="E221" s="1644"/>
      <c r="F221" s="46">
        <f>IF(COUNTIF(B216:C224,""),"",+ABS(D221-E219)/E219)</f>
        <v>3.8116591928251155E-2</v>
      </c>
      <c r="G221" s="465" t="str">
        <f>IF(COUNTIF(B216:C224,""),"",IF($B$13="DR",IF(F221&lt;=0.06,"X",""),IF(F221&lt;=0.15,"X","")))</f>
        <v>X</v>
      </c>
      <c r="H221" s="465" t="str">
        <f>IF(COUNTIF(B216:C224,""),"",IF($B$13="DR",IF(F221&gt;0.06,"X",""),IF(F221&gt;0.15,"X","")))</f>
        <v/>
      </c>
      <c r="I221" s="5">
        <f t="shared" si="25"/>
        <v>0</v>
      </c>
      <c r="J221" s="916"/>
      <c r="K221" s="916"/>
      <c r="L221" s="916"/>
      <c r="M221" s="929"/>
      <c r="N221" s="916"/>
      <c r="O221" s="916"/>
      <c r="P221" s="916"/>
      <c r="Q221" s="916"/>
      <c r="R221" s="916"/>
    </row>
    <row r="222" spans="1:18" ht="13.8" x14ac:dyDescent="0.3">
      <c r="A222" s="200">
        <v>7</v>
      </c>
      <c r="B222" s="196">
        <v>900</v>
      </c>
      <c r="C222" s="188">
        <v>10</v>
      </c>
      <c r="D222" s="464">
        <f>IF(COUNTIF(B216:C224,""),"",B222/C222)</f>
        <v>90</v>
      </c>
      <c r="E222" s="1642">
        <f>IF(COUNTIF(B216:C224,""),"",AVERAGE(D222:D224))</f>
        <v>113.48484848484848</v>
      </c>
      <c r="F222" s="46">
        <f>IF(COUNTIF(B216:C224,""),"",+ABS(D222-E222)/E222)</f>
        <v>0.2069425901201602</v>
      </c>
      <c r="G222" s="465" t="str">
        <f>IF(COUNTIF(B216:C224,""),"",IF($B$13="DR",IF(F222&lt;=0.06,"X",""),IF(F222&lt;=0.15,"X","")))</f>
        <v/>
      </c>
      <c r="H222" s="465" t="str">
        <f>IF(COUNTIF(B216:C224,""),"",IF($B$13="DR",IF(F222&gt;0.06,"X",""),IF(F222&gt;0.15,"X","")))</f>
        <v>X</v>
      </c>
      <c r="I222" s="5">
        <f t="shared" si="25"/>
        <v>1</v>
      </c>
      <c r="J222" s="916"/>
      <c r="K222" s="916"/>
      <c r="L222" s="916"/>
      <c r="M222" s="929"/>
      <c r="N222" s="916"/>
      <c r="O222" s="916"/>
      <c r="P222" s="916"/>
      <c r="Q222" s="916"/>
      <c r="R222" s="916"/>
    </row>
    <row r="223" spans="1:18" ht="13.8" x14ac:dyDescent="0.3">
      <c r="A223" s="201">
        <v>8</v>
      </c>
      <c r="B223" s="196">
        <v>1325</v>
      </c>
      <c r="C223" s="188">
        <v>11</v>
      </c>
      <c r="D223" s="464">
        <f>IF(COUNTIF(B216:C224,""),"",B223/C223)</f>
        <v>120.45454545454545</v>
      </c>
      <c r="E223" s="1643"/>
      <c r="F223" s="46">
        <f>IF(COUNTIF(B216:C224,""),"",+ABS(D223-E222)/E222)</f>
        <v>6.1415220293724961E-2</v>
      </c>
      <c r="G223" s="465" t="str">
        <f>IF(COUNTIF(B216:C224,""),"",IF($B$13="DR",IF(F223&lt;=0.06,"X",""),IF(F223&lt;=0.15,"X","")))</f>
        <v/>
      </c>
      <c r="H223" s="465" t="str">
        <f>IF(COUNTIF(B216:C224,""),"",IF($B$13="DR",IF(F223&gt;0.06,"X",""),IF(F223&gt;0.15,"X","")))</f>
        <v>X</v>
      </c>
      <c r="I223" s="5">
        <f t="shared" si="25"/>
        <v>1</v>
      </c>
      <c r="J223" s="916"/>
      <c r="K223" s="916"/>
      <c r="L223" s="916"/>
      <c r="M223" s="929"/>
      <c r="N223" s="916"/>
      <c r="O223" s="916"/>
      <c r="P223" s="916"/>
      <c r="Q223" s="916"/>
      <c r="R223" s="916"/>
    </row>
    <row r="224" spans="1:18" ht="13.8" x14ac:dyDescent="0.3">
      <c r="A224" s="180">
        <v>9</v>
      </c>
      <c r="B224" s="196">
        <v>1300</v>
      </c>
      <c r="C224" s="188">
        <v>10</v>
      </c>
      <c r="D224" s="464">
        <f>IF(COUNTIF(B216:C224,""),"",B224/C224)</f>
        <v>130</v>
      </c>
      <c r="E224" s="1644"/>
      <c r="F224" s="46">
        <f>IF(COUNTIF(B216:C224,""),"",+ABS(D224-E222)/E222)</f>
        <v>0.14552736982643524</v>
      </c>
      <c r="G224" s="465" t="str">
        <f>IF(COUNTIF(B216:C224,""),"",IF($B$13="DR",IF(F224&lt;=0.06,"X",""),IF(F224&lt;=0.15,"X","")))</f>
        <v/>
      </c>
      <c r="H224" s="465" t="str">
        <f>IF(COUNTIF(B216:C224,""),"",IF($B$13="DR",IF(F224&gt;0.06,"X",""),IF(F224&gt;0.15,"X","")))</f>
        <v>X</v>
      </c>
      <c r="I224" s="5">
        <f t="shared" si="25"/>
        <v>1</v>
      </c>
      <c r="J224" s="916"/>
      <c r="K224" s="916"/>
      <c r="L224" s="916"/>
      <c r="M224" s="929"/>
      <c r="N224" s="916"/>
      <c r="O224" s="916"/>
      <c r="P224" s="916"/>
      <c r="Q224" s="916"/>
      <c r="R224" s="916"/>
    </row>
    <row r="225" spans="1:18" ht="13.8" x14ac:dyDescent="0.3">
      <c r="F225" s="877"/>
      <c r="J225" s="916"/>
      <c r="K225" s="916"/>
      <c r="L225" s="916"/>
      <c r="M225" s="929"/>
      <c r="N225" s="916"/>
      <c r="O225" s="916"/>
      <c r="P225" s="916"/>
      <c r="Q225" s="916"/>
      <c r="R225" s="916"/>
    </row>
    <row r="226" spans="1:18" ht="13.8" x14ac:dyDescent="0.3">
      <c r="A226" s="563" t="s">
        <v>805</v>
      </c>
      <c r="B226" s="192" t="s">
        <v>662</v>
      </c>
      <c r="C226" s="563" t="s">
        <v>585</v>
      </c>
      <c r="D226" s="192">
        <v>73</v>
      </c>
      <c r="E226" s="191"/>
      <c r="F226" s="878"/>
      <c r="G226" s="176"/>
      <c r="H226" s="176"/>
      <c r="J226" s="916"/>
      <c r="K226" s="916"/>
      <c r="L226" s="916"/>
      <c r="M226" s="929"/>
      <c r="N226" s="916"/>
      <c r="O226" s="916"/>
      <c r="P226" s="916"/>
      <c r="Q226" s="916"/>
      <c r="R226" s="916"/>
    </row>
    <row r="227" spans="1:18" ht="13.8" x14ac:dyDescent="0.3">
      <c r="A227" s="549" t="s">
        <v>144</v>
      </c>
      <c r="B227" s="457" t="s">
        <v>161</v>
      </c>
      <c r="C227" s="457" t="s">
        <v>145</v>
      </c>
      <c r="D227" s="548" t="s">
        <v>146</v>
      </c>
      <c r="E227" s="1640" t="s">
        <v>147</v>
      </c>
      <c r="F227" s="879" t="s">
        <v>148</v>
      </c>
      <c r="G227" s="1518" t="s">
        <v>15</v>
      </c>
      <c r="H227" s="1518"/>
      <c r="I227" s="495"/>
      <c r="J227" s="916"/>
      <c r="K227" s="916"/>
      <c r="L227" s="916"/>
      <c r="M227" s="929"/>
      <c r="N227" s="916"/>
      <c r="O227" s="916"/>
      <c r="P227" s="916"/>
      <c r="Q227" s="916"/>
      <c r="R227" s="916"/>
    </row>
    <row r="228" spans="1:18" ht="13.8" x14ac:dyDescent="0.3">
      <c r="A228" s="459" t="s">
        <v>149</v>
      </c>
      <c r="B228" s="460" t="s">
        <v>150</v>
      </c>
      <c r="C228" s="461" t="s">
        <v>156</v>
      </c>
      <c r="D228" s="462" t="s">
        <v>157</v>
      </c>
      <c r="E228" s="1641"/>
      <c r="F228" s="880" t="s">
        <v>152</v>
      </c>
      <c r="G228" s="534" t="s">
        <v>16</v>
      </c>
      <c r="H228" s="534" t="s">
        <v>17</v>
      </c>
      <c r="I228" s="495"/>
      <c r="J228" s="916"/>
      <c r="K228" s="916"/>
      <c r="L228" s="916"/>
      <c r="M228" s="929"/>
      <c r="N228" s="916"/>
      <c r="O228" s="916"/>
      <c r="P228" s="916"/>
      <c r="Q228" s="916"/>
      <c r="R228" s="916"/>
    </row>
    <row r="229" spans="1:18" ht="13.8" x14ac:dyDescent="0.3">
      <c r="A229" s="198">
        <v>1</v>
      </c>
      <c r="B229" s="193"/>
      <c r="C229" s="188"/>
      <c r="D229" s="464" t="str">
        <f>IF(COUNTIF(B229:C237,""),"",B229/C229)</f>
        <v/>
      </c>
      <c r="E229" s="1642" t="str">
        <f>IF(COUNTIF(B229:C237,""),"",AVERAGE(D229:D231))</f>
        <v/>
      </c>
      <c r="F229" s="46" t="str">
        <f>IF(COUNTIF(B229:C237,""),"",+ABS(D229-E229)/E229)</f>
        <v/>
      </c>
      <c r="G229" s="465" t="str">
        <f>IF(COUNTIF(B229:C237,""),"",IF($B$13="DR",IF(F229&lt;=0.06,"X",""),IF(F229&lt;=0.15,"X","")))</f>
        <v/>
      </c>
      <c r="H229" s="465" t="str">
        <f>IF(COUNTIF(B229:C237,""),"",IF($B$13="DR",IF(F229&gt;0.06,"X",""),IF(F229&gt;0.15,"X","")))</f>
        <v/>
      </c>
      <c r="I229" s="5">
        <f t="shared" ref="I229:I237" si="26">COUNTIF(H229,"X")</f>
        <v>0</v>
      </c>
      <c r="J229" s="916"/>
      <c r="K229" s="916"/>
      <c r="L229" s="916"/>
      <c r="M229" s="929"/>
      <c r="N229" s="916"/>
      <c r="O229" s="916"/>
      <c r="P229" s="916"/>
      <c r="Q229" s="916"/>
      <c r="R229" s="916"/>
    </row>
    <row r="230" spans="1:18" ht="13.8" x14ac:dyDescent="0.3">
      <c r="A230" s="199">
        <v>2</v>
      </c>
      <c r="B230" s="193"/>
      <c r="C230" s="188"/>
      <c r="D230" s="464" t="str">
        <f>IF(COUNTIF(B229:C237,""),"",B230/C230)</f>
        <v/>
      </c>
      <c r="E230" s="1643"/>
      <c r="F230" s="46" t="str">
        <f>IF(COUNTIF(B229:C237,""),"",+ABS(D230-E229)/E229)</f>
        <v/>
      </c>
      <c r="G230" s="465" t="str">
        <f>IF(COUNTIF(B229:C237,""),"",IF($B$13="DR",IF(F230&lt;=0.06,"X",""),IF(F230&lt;=0.15,"X","")))</f>
        <v/>
      </c>
      <c r="H230" s="465" t="str">
        <f>IF(COUNTIF(B229:C237,""),"",IF($B$13="DR",IF(F230&gt;0.06,"X",""),IF(F230&gt;0.15,"X","")))</f>
        <v/>
      </c>
      <c r="I230" s="5">
        <f t="shared" si="26"/>
        <v>0</v>
      </c>
      <c r="J230" s="916"/>
      <c r="K230" s="916"/>
      <c r="L230" s="916"/>
      <c r="M230" s="929"/>
      <c r="N230" s="916"/>
      <c r="O230" s="916"/>
      <c r="P230" s="916"/>
      <c r="Q230" s="916"/>
      <c r="R230" s="916"/>
    </row>
    <row r="231" spans="1:18" ht="13.8" x14ac:dyDescent="0.3">
      <c r="A231" s="199">
        <v>3</v>
      </c>
      <c r="B231" s="193"/>
      <c r="C231" s="188"/>
      <c r="D231" s="464" t="str">
        <f>IF(COUNTIF(B229:C237,""),"",B231/C231)</f>
        <v/>
      </c>
      <c r="E231" s="1644"/>
      <c r="F231" s="46" t="str">
        <f>IF(COUNTIF(B229:C237,""),"",+ABS(D231-E229)/E229)</f>
        <v/>
      </c>
      <c r="G231" s="465" t="str">
        <f>IF(COUNTIF(B229:C237,""),"",IF($B$13="DR",IF(F231&lt;=0.06,"X",""),IF(F231&lt;=0.15,"X","")))</f>
        <v/>
      </c>
      <c r="H231" s="465" t="str">
        <f>IF(COUNTIF(B229:C237,""),"",IF($B$13="DR",IF(F231&gt;0.06,"X",""),IF(F231&gt;0.15,"X","")))</f>
        <v/>
      </c>
      <c r="I231" s="5">
        <f t="shared" si="26"/>
        <v>0</v>
      </c>
      <c r="J231" s="916"/>
      <c r="K231" s="916"/>
      <c r="L231" s="916"/>
      <c r="M231" s="929"/>
      <c r="N231" s="916"/>
      <c r="O231" s="916"/>
      <c r="P231" s="916"/>
      <c r="Q231" s="916"/>
      <c r="R231" s="916"/>
    </row>
    <row r="232" spans="1:18" ht="13.8" x14ac:dyDescent="0.3">
      <c r="A232" s="199">
        <v>4</v>
      </c>
      <c r="B232" s="195"/>
      <c r="C232" s="188"/>
      <c r="D232" s="464" t="str">
        <f>IF(COUNTIF(B229:C237,""),"",B232/C232)</f>
        <v/>
      </c>
      <c r="E232" s="1642" t="str">
        <f>IF(COUNTIF(B229:C237,""),"",AVERAGE(D232:D234))</f>
        <v/>
      </c>
      <c r="F232" s="46" t="str">
        <f>IF(COUNTIF(B229:C237,""),"",+ABS(D232-E232)/E232)</f>
        <v/>
      </c>
      <c r="G232" s="465" t="str">
        <f>IF(COUNTIF(B229:C237,""),"",IF($B$13="DR",IF(F232&lt;=0.06,"X",""),IF(F232&lt;=0.15,"X","")))</f>
        <v/>
      </c>
      <c r="H232" s="465" t="str">
        <f>IF(COUNTIF(B229:C237,""),"",IF($B$13="DR",IF(F232&gt;0.06,"X",""),IF(F232&gt;0.15,"X","")))</f>
        <v/>
      </c>
      <c r="I232" s="5">
        <f t="shared" si="26"/>
        <v>0</v>
      </c>
      <c r="J232" s="916"/>
      <c r="K232" s="916"/>
      <c r="L232" s="916"/>
      <c r="M232" s="929"/>
      <c r="N232" s="916"/>
      <c r="O232" s="916"/>
      <c r="P232" s="916"/>
      <c r="Q232" s="916"/>
      <c r="R232" s="916"/>
    </row>
    <row r="233" spans="1:18" ht="13.8" x14ac:dyDescent="0.3">
      <c r="A233" s="200">
        <v>5</v>
      </c>
      <c r="B233" s="196"/>
      <c r="C233" s="188"/>
      <c r="D233" s="464" t="str">
        <f>IF(COUNTIF(B229:C237,""),"",B233/C233)</f>
        <v/>
      </c>
      <c r="E233" s="1643"/>
      <c r="F233" s="46" t="str">
        <f>IF(COUNTIF(B229:C237,""),"",+ABS(D233-E232)/E232)</f>
        <v/>
      </c>
      <c r="G233" s="465" t="str">
        <f>IF(COUNTIF(B229:C237,""),"",IF($B$13="DR",IF(F233&lt;=0.06,"X",""),IF(F233&lt;=0.15,"X","")))</f>
        <v/>
      </c>
      <c r="H233" s="465" t="str">
        <f>IF(COUNTIF(B229:C237,""),"",IF($B$13="DR",IF(F233&gt;0.06,"X",""),IF(F233&gt;0.15,"X","")))</f>
        <v/>
      </c>
      <c r="I233" s="5">
        <f t="shared" si="26"/>
        <v>0</v>
      </c>
      <c r="J233" s="916"/>
      <c r="K233" s="916"/>
      <c r="L233" s="916" t="str">
        <f>B226</f>
        <v>cass#14</v>
      </c>
      <c r="M233" s="928">
        <f>E226</f>
        <v>0</v>
      </c>
      <c r="N233" s="927">
        <f>B233</f>
        <v>0</v>
      </c>
      <c r="O233" s="927">
        <f>C233</f>
        <v>0</v>
      </c>
      <c r="P233" s="916"/>
      <c r="Q233" s="927">
        <f>D226</f>
        <v>73</v>
      </c>
      <c r="R233" s="916"/>
    </row>
    <row r="234" spans="1:18" ht="13.8" x14ac:dyDescent="0.3">
      <c r="A234" s="199">
        <v>6</v>
      </c>
      <c r="B234" s="196"/>
      <c r="C234" s="188"/>
      <c r="D234" s="464" t="str">
        <f>IF(COUNTIF(B229:C237,""),"",B234/C234)</f>
        <v/>
      </c>
      <c r="E234" s="1644"/>
      <c r="F234" s="46" t="str">
        <f>IF(COUNTIF(B229:C237,""),"",+ABS(D234-E232)/E232)</f>
        <v/>
      </c>
      <c r="G234" s="465" t="str">
        <f>IF(COUNTIF(B229:C237,""),"",IF($B$13="DR",IF(F234&lt;=0.06,"X",""),IF(F234&lt;=0.15,"X","")))</f>
        <v/>
      </c>
      <c r="H234" s="465" t="str">
        <f>IF(COUNTIF(B229:C237,""),"",IF($B$13="DR",IF(F234&gt;0.06,"X",""),IF(F234&gt;0.15,"X","")))</f>
        <v/>
      </c>
      <c r="I234" s="5">
        <f t="shared" si="26"/>
        <v>0</v>
      </c>
      <c r="J234" s="916"/>
      <c r="K234" s="916"/>
      <c r="L234" s="916"/>
      <c r="M234" s="929"/>
      <c r="N234" s="916"/>
      <c r="O234" s="916"/>
      <c r="P234" s="916"/>
      <c r="Q234" s="916"/>
      <c r="R234" s="916"/>
    </row>
    <row r="235" spans="1:18" ht="13.8" x14ac:dyDescent="0.3">
      <c r="A235" s="200">
        <v>7</v>
      </c>
      <c r="B235" s="196"/>
      <c r="C235" s="188"/>
      <c r="D235" s="464" t="str">
        <f>IF(COUNTIF(B229:C237,""),"",B235/C235)</f>
        <v/>
      </c>
      <c r="E235" s="1642" t="str">
        <f>IF(COUNTIF(B229:C237,""),"",AVERAGE(D235:D237))</f>
        <v/>
      </c>
      <c r="F235" s="46" t="str">
        <f>IF(COUNTIF(B229:C237,""),"",+ABS(D235-E235)/E235)</f>
        <v/>
      </c>
      <c r="G235" s="465" t="str">
        <f>IF(COUNTIF(B229:C237,""),"",IF($B$13="DR",IF(F235&lt;=0.06,"X",""),IF(F235&lt;=0.15,"X","")))</f>
        <v/>
      </c>
      <c r="H235" s="465" t="str">
        <f>IF(COUNTIF(B229:C237,""),"",IF($B$13="DR",IF(F235&gt;0.06,"X",""),IF(F235&gt;0.15,"X","")))</f>
        <v/>
      </c>
      <c r="I235" s="5">
        <f t="shared" si="26"/>
        <v>0</v>
      </c>
      <c r="J235" s="916"/>
      <c r="K235" s="916"/>
      <c r="L235" s="916"/>
      <c r="M235" s="929"/>
      <c r="N235" s="916"/>
      <c r="O235" s="916"/>
      <c r="P235" s="916"/>
      <c r="Q235" s="916"/>
      <c r="R235" s="916"/>
    </row>
    <row r="236" spans="1:18" ht="13.8" x14ac:dyDescent="0.3">
      <c r="A236" s="201">
        <v>8</v>
      </c>
      <c r="B236" s="196"/>
      <c r="C236" s="188"/>
      <c r="D236" s="464" t="str">
        <f>IF(COUNTIF(B229:C237,""),"",B236/C236)</f>
        <v/>
      </c>
      <c r="E236" s="1643"/>
      <c r="F236" s="46" t="str">
        <f>IF(COUNTIF(B229:C237,""),"",+ABS(D236-E235)/E235)</f>
        <v/>
      </c>
      <c r="G236" s="465" t="str">
        <f>IF(COUNTIF(B229:C237,""),"",IF($B$13="DR",IF(F236&lt;=0.06,"X",""),IF(F236&lt;=0.15,"X","")))</f>
        <v/>
      </c>
      <c r="H236" s="465" t="str">
        <f>IF(COUNTIF(B229:C237,""),"",IF($B$13="DR",IF(F236&gt;0.06,"X",""),IF(F236&gt;0.15,"X","")))</f>
        <v/>
      </c>
      <c r="I236" s="5">
        <f t="shared" si="26"/>
        <v>0</v>
      </c>
      <c r="J236" s="916"/>
      <c r="K236" s="916"/>
      <c r="L236" s="916"/>
      <c r="M236" s="929"/>
      <c r="N236" s="916"/>
      <c r="O236" s="916"/>
      <c r="P236" s="916"/>
      <c r="Q236" s="916"/>
      <c r="R236" s="916"/>
    </row>
    <row r="237" spans="1:18" ht="13.8" x14ac:dyDescent="0.3">
      <c r="A237" s="180">
        <v>9</v>
      </c>
      <c r="B237" s="196"/>
      <c r="C237" s="188"/>
      <c r="D237" s="464" t="str">
        <f>IF(COUNTIF(B229:C237,""),"",B237/C237)</f>
        <v/>
      </c>
      <c r="E237" s="1644"/>
      <c r="F237" s="46" t="str">
        <f>IF(COUNTIF(B229:C237,""),"",+ABS(D237-E235)/E235)</f>
        <v/>
      </c>
      <c r="G237" s="465" t="str">
        <f>IF(COUNTIF(B229:C237,""),"",IF($B$13="DR",IF(F237&lt;=0.06,"X",""),IF(F237&lt;=0.15,"X","")))</f>
        <v/>
      </c>
      <c r="H237" s="465" t="str">
        <f>IF(COUNTIF(B229:C237,""),"",IF($B$13="DR",IF(F237&gt;0.06,"X",""),IF(F237&gt;0.15,"X","")))</f>
        <v/>
      </c>
      <c r="I237" s="5">
        <f t="shared" si="26"/>
        <v>0</v>
      </c>
      <c r="J237" s="916"/>
      <c r="K237" s="916"/>
      <c r="L237" s="916"/>
      <c r="M237" s="929"/>
      <c r="N237" s="916"/>
      <c r="O237" s="916"/>
      <c r="P237" s="916"/>
      <c r="Q237" s="916"/>
      <c r="R237" s="916"/>
    </row>
    <row r="238" spans="1:18" ht="13.8" x14ac:dyDescent="0.3">
      <c r="F238" s="877"/>
      <c r="J238" s="916"/>
      <c r="K238" s="916"/>
      <c r="L238" s="916"/>
      <c r="M238" s="929"/>
      <c r="N238" s="916"/>
      <c r="O238" s="916"/>
      <c r="P238" s="916"/>
      <c r="Q238" s="916"/>
      <c r="R238" s="916"/>
    </row>
    <row r="239" spans="1:18" ht="13.8" x14ac:dyDescent="0.3">
      <c r="A239" s="563" t="s">
        <v>805</v>
      </c>
      <c r="B239" s="192" t="s">
        <v>663</v>
      </c>
      <c r="C239" s="563" t="s">
        <v>585</v>
      </c>
      <c r="D239" s="192">
        <v>69</v>
      </c>
      <c r="E239" s="191"/>
      <c r="F239" s="878"/>
      <c r="G239" s="176"/>
      <c r="H239" s="176"/>
      <c r="J239" s="916"/>
      <c r="K239" s="916"/>
      <c r="L239" s="916"/>
      <c r="M239" s="929"/>
      <c r="N239" s="916"/>
      <c r="O239" s="916"/>
      <c r="P239" s="916"/>
      <c r="Q239" s="916"/>
      <c r="R239" s="916"/>
    </row>
    <row r="240" spans="1:18" ht="13.8" x14ac:dyDescent="0.3">
      <c r="A240" s="549" t="s">
        <v>144</v>
      </c>
      <c r="B240" s="457" t="s">
        <v>161</v>
      </c>
      <c r="C240" s="457" t="s">
        <v>145</v>
      </c>
      <c r="D240" s="548" t="s">
        <v>146</v>
      </c>
      <c r="E240" s="1640" t="s">
        <v>147</v>
      </c>
      <c r="F240" s="879" t="s">
        <v>148</v>
      </c>
      <c r="G240" s="1518" t="s">
        <v>15</v>
      </c>
      <c r="H240" s="1518"/>
      <c r="I240" s="495"/>
      <c r="J240" s="916"/>
      <c r="K240" s="916"/>
      <c r="L240" s="916"/>
      <c r="M240" s="929"/>
      <c r="N240" s="916"/>
      <c r="O240" s="916"/>
      <c r="P240" s="916"/>
      <c r="Q240" s="916"/>
      <c r="R240" s="916"/>
    </row>
    <row r="241" spans="1:18" ht="13.8" x14ac:dyDescent="0.3">
      <c r="A241" s="459" t="s">
        <v>149</v>
      </c>
      <c r="B241" s="460" t="s">
        <v>150</v>
      </c>
      <c r="C241" s="461" t="s">
        <v>156</v>
      </c>
      <c r="D241" s="462" t="s">
        <v>157</v>
      </c>
      <c r="E241" s="1641"/>
      <c r="F241" s="880" t="s">
        <v>152</v>
      </c>
      <c r="G241" s="534" t="s">
        <v>16</v>
      </c>
      <c r="H241" s="534" t="s">
        <v>17</v>
      </c>
      <c r="I241" s="495"/>
      <c r="J241" s="916"/>
      <c r="K241" s="916"/>
      <c r="L241" s="916"/>
      <c r="M241" s="929"/>
      <c r="N241" s="916"/>
      <c r="O241" s="916"/>
      <c r="P241" s="916"/>
      <c r="Q241" s="916"/>
      <c r="R241" s="916"/>
    </row>
    <row r="242" spans="1:18" ht="13.8" x14ac:dyDescent="0.3">
      <c r="A242" s="198">
        <v>1</v>
      </c>
      <c r="B242" s="193"/>
      <c r="C242" s="188"/>
      <c r="D242" s="464" t="str">
        <f>IF(COUNTIF(B242:C250,""),"",B242/C242)</f>
        <v/>
      </c>
      <c r="E242" s="1642" t="str">
        <f>IF(COUNTIF(B242:C250,""),"",AVERAGE(D242:D244))</f>
        <v/>
      </c>
      <c r="F242" s="46" t="str">
        <f>IF(COUNTIF(B242:C250,""),"",+ABS(D242-E242)/E242)</f>
        <v/>
      </c>
      <c r="G242" s="465" t="str">
        <f>IF(COUNTIF(B242:C250,""),"",IF($B$13="DR",IF(F242&lt;=0.06,"X",""),IF(F242&lt;=0.15,"X","")))</f>
        <v/>
      </c>
      <c r="H242" s="465" t="str">
        <f>IF(COUNTIF(B242:C250,""),"",IF($B$13="DR",IF(F242&gt;0.06,"X",""),IF(F242&gt;0.15,"X","")))</f>
        <v/>
      </c>
      <c r="I242" s="5">
        <f t="shared" ref="I242:I250" si="27">COUNTIF(H242,"X")</f>
        <v>0</v>
      </c>
      <c r="J242" s="916"/>
      <c r="K242" s="916"/>
      <c r="L242" s="916"/>
      <c r="M242" s="929"/>
      <c r="N242" s="916"/>
      <c r="O242" s="916"/>
      <c r="P242" s="916"/>
      <c r="Q242" s="916"/>
      <c r="R242" s="916"/>
    </row>
    <row r="243" spans="1:18" ht="13.8" x14ac:dyDescent="0.3">
      <c r="A243" s="199">
        <v>2</v>
      </c>
      <c r="B243" s="193"/>
      <c r="C243" s="188"/>
      <c r="D243" s="464" t="str">
        <f>IF(COUNTIF(B242:C250,""),"",B243/C243)</f>
        <v/>
      </c>
      <c r="E243" s="1643"/>
      <c r="F243" s="46" t="str">
        <f>IF(COUNTIF(B242:C250,""),"",+ABS(D243-E242)/E242)</f>
        <v/>
      </c>
      <c r="G243" s="465" t="str">
        <f>IF(COUNTIF(B242:C250,""),"",IF($B$13="DR",IF(F243&lt;=0.06,"X",""),IF(F243&lt;=0.15,"X","")))</f>
        <v/>
      </c>
      <c r="H243" s="465" t="str">
        <f>IF(COUNTIF(B242:C250,""),"",IF($B$13="DR",IF(F243&gt;0.06,"X",""),IF(F243&gt;0.15,"X","")))</f>
        <v/>
      </c>
      <c r="I243" s="5">
        <f t="shared" si="27"/>
        <v>0</v>
      </c>
      <c r="J243" s="916"/>
      <c r="K243" s="916"/>
      <c r="L243" s="916"/>
      <c r="M243" s="929"/>
      <c r="N243" s="916"/>
      <c r="O243" s="916"/>
      <c r="P243" s="916"/>
      <c r="Q243" s="916"/>
      <c r="R243" s="916"/>
    </row>
    <row r="244" spans="1:18" ht="13.8" x14ac:dyDescent="0.3">
      <c r="A244" s="199">
        <v>3</v>
      </c>
      <c r="B244" s="193"/>
      <c r="C244" s="188"/>
      <c r="D244" s="464" t="str">
        <f>IF(COUNTIF(B242:C250,""),"",B244/C244)</f>
        <v/>
      </c>
      <c r="E244" s="1644"/>
      <c r="F244" s="46" t="str">
        <f>IF(COUNTIF(B242:C250,""),"",+ABS(D244-E242)/E242)</f>
        <v/>
      </c>
      <c r="G244" s="465" t="str">
        <f>IF(COUNTIF(B242:C250,""),"",IF($B$13="DR",IF(F244&lt;=0.06,"X",""),IF(F244&lt;=0.15,"X","")))</f>
        <v/>
      </c>
      <c r="H244" s="465" t="str">
        <f>IF(COUNTIF(B242:C250,""),"",IF($B$13="DR",IF(F244&gt;0.06,"X",""),IF(F244&gt;0.15,"X","")))</f>
        <v/>
      </c>
      <c r="I244" s="5">
        <f t="shared" si="27"/>
        <v>0</v>
      </c>
      <c r="J244" s="916"/>
      <c r="K244" s="916"/>
      <c r="L244" s="916"/>
      <c r="M244" s="929"/>
      <c r="N244" s="916"/>
      <c r="O244" s="916"/>
      <c r="P244" s="916"/>
      <c r="Q244" s="916"/>
      <c r="R244" s="916"/>
    </row>
    <row r="245" spans="1:18" ht="13.8" x14ac:dyDescent="0.3">
      <c r="A245" s="199">
        <v>4</v>
      </c>
      <c r="B245" s="195"/>
      <c r="C245" s="188"/>
      <c r="D245" s="464" t="str">
        <f>IF(COUNTIF(B242:C250,""),"",B245/C245)</f>
        <v/>
      </c>
      <c r="E245" s="1642" t="str">
        <f>IF(COUNTIF(B242:C250,""),"",AVERAGE(D245:D247))</f>
        <v/>
      </c>
      <c r="F245" s="46" t="str">
        <f>IF(COUNTIF(B242:C250,""),"",+ABS(D245-E245)/E245)</f>
        <v/>
      </c>
      <c r="G245" s="465" t="str">
        <f>IF(COUNTIF(B242:C250,""),"",IF($B$13="DR",IF(F245&lt;=0.06,"X",""),IF(F245&lt;=0.15,"X","")))</f>
        <v/>
      </c>
      <c r="H245" s="465" t="str">
        <f>IF(COUNTIF(B242:C250,""),"",IF($B$13="DR",IF(F245&gt;0.06,"X",""),IF(F245&gt;0.15,"X","")))</f>
        <v/>
      </c>
      <c r="I245" s="5">
        <f t="shared" si="27"/>
        <v>0</v>
      </c>
      <c r="J245" s="916"/>
      <c r="K245" s="916"/>
      <c r="L245" s="916"/>
      <c r="M245" s="929"/>
      <c r="N245" s="916"/>
      <c r="O245" s="916"/>
      <c r="P245" s="916"/>
      <c r="Q245" s="916"/>
      <c r="R245" s="916"/>
    </row>
    <row r="246" spans="1:18" ht="13.8" x14ac:dyDescent="0.3">
      <c r="A246" s="200">
        <v>5</v>
      </c>
      <c r="B246" s="196"/>
      <c r="C246" s="188"/>
      <c r="D246" s="464" t="str">
        <f>IF(COUNTIF(B242:C250,""),"",B246/C246)</f>
        <v/>
      </c>
      <c r="E246" s="1643"/>
      <c r="F246" s="46" t="str">
        <f>IF(COUNTIF(B242:C250,""),"",+ABS(D246-E245)/E245)</f>
        <v/>
      </c>
      <c r="G246" s="465" t="str">
        <f>IF(COUNTIF(B242:C250,""),"",IF($B$13="DR",IF(F246&lt;=0.06,"X",""),IF(F246&lt;=0.15,"X","")))</f>
        <v/>
      </c>
      <c r="H246" s="465" t="str">
        <f>IF(COUNTIF(B242:C250,""),"",IF($B$13="DR",IF(F246&gt;0.06,"X",""),IF(F246&gt;0.15,"X","")))</f>
        <v/>
      </c>
      <c r="I246" s="5">
        <f t="shared" si="27"/>
        <v>0</v>
      </c>
      <c r="J246" s="916"/>
      <c r="K246" s="916"/>
      <c r="L246" s="916" t="str">
        <f>B239</f>
        <v>cass#15</v>
      </c>
      <c r="M246" s="928">
        <f>E239</f>
        <v>0</v>
      </c>
      <c r="N246" s="927">
        <f>B246</f>
        <v>0</v>
      </c>
      <c r="O246" s="927">
        <f>C246</f>
        <v>0</v>
      </c>
      <c r="P246" s="916"/>
      <c r="Q246" s="927">
        <f>D239</f>
        <v>69</v>
      </c>
      <c r="R246" s="916"/>
    </row>
    <row r="247" spans="1:18" ht="13.8" x14ac:dyDescent="0.3">
      <c r="A247" s="199">
        <v>6</v>
      </c>
      <c r="B247" s="196"/>
      <c r="C247" s="188"/>
      <c r="D247" s="464" t="str">
        <f>IF(COUNTIF(B242:C250,""),"",B247/C247)</f>
        <v/>
      </c>
      <c r="E247" s="1644"/>
      <c r="F247" s="46" t="str">
        <f>IF(COUNTIF(B242:C250,""),"",+ABS(D247-E245)/E245)</f>
        <v/>
      </c>
      <c r="G247" s="465" t="str">
        <f>IF(COUNTIF(B242:C250,""),"",IF($B$13="DR",IF(F247&lt;=0.06,"X",""),IF(F247&lt;=0.15,"X","")))</f>
        <v/>
      </c>
      <c r="H247" s="465" t="str">
        <f>IF(COUNTIF(B242:C250,""),"",IF($B$13="DR",IF(F247&gt;0.06,"X",""),IF(F247&gt;0.15,"X","")))</f>
        <v/>
      </c>
      <c r="I247" s="5">
        <f t="shared" si="27"/>
        <v>0</v>
      </c>
      <c r="J247" s="916"/>
      <c r="K247" s="916"/>
      <c r="L247" s="916"/>
      <c r="M247" s="929"/>
      <c r="N247" s="916"/>
      <c r="O247" s="916"/>
      <c r="P247" s="916"/>
      <c r="Q247" s="916"/>
      <c r="R247" s="916"/>
    </row>
    <row r="248" spans="1:18" ht="13.8" x14ac:dyDescent="0.3">
      <c r="A248" s="200">
        <v>7</v>
      </c>
      <c r="B248" s="196"/>
      <c r="C248" s="188"/>
      <c r="D248" s="464" t="str">
        <f>IF(COUNTIF(B242:C250,""),"",B248/C248)</f>
        <v/>
      </c>
      <c r="E248" s="1642" t="str">
        <f>IF(COUNTIF(B242:C250,""),"",AVERAGE(D248:D250))</f>
        <v/>
      </c>
      <c r="F248" s="46" t="str">
        <f>IF(COUNTIF(B242:C250,""),"",+ABS(D248-E248)/E248)</f>
        <v/>
      </c>
      <c r="G248" s="465" t="str">
        <f>IF(COUNTIF(B242:C250,""),"",IF($B$13="DR",IF(F248&lt;=0.06,"X",""),IF(F248&lt;=0.15,"X","")))</f>
        <v/>
      </c>
      <c r="H248" s="465" t="str">
        <f>IF(COUNTIF(B242:C250,""),"",IF($B$13="DR",IF(F248&gt;0.06,"X",""),IF(F248&gt;0.15,"X","")))</f>
        <v/>
      </c>
      <c r="I248" s="5">
        <f t="shared" si="27"/>
        <v>0</v>
      </c>
      <c r="J248" s="916"/>
      <c r="K248" s="916"/>
      <c r="L248" s="916"/>
      <c r="M248" s="929"/>
      <c r="N248" s="916"/>
      <c r="O248" s="916"/>
      <c r="P248" s="916"/>
      <c r="Q248" s="916"/>
      <c r="R248" s="916"/>
    </row>
    <row r="249" spans="1:18" ht="13.8" x14ac:dyDescent="0.3">
      <c r="A249" s="201">
        <v>8</v>
      </c>
      <c r="B249" s="196"/>
      <c r="C249" s="188"/>
      <c r="D249" s="464" t="str">
        <f>IF(COUNTIF(B242:C250,""),"",B249/C249)</f>
        <v/>
      </c>
      <c r="E249" s="1643"/>
      <c r="F249" s="46" t="str">
        <f>IF(COUNTIF(B242:C250,""),"",+ABS(D249-E248)/E248)</f>
        <v/>
      </c>
      <c r="G249" s="465" t="str">
        <f>IF(COUNTIF(B242:C250,""),"",IF($B$13="DR",IF(F249&lt;=0.06,"X",""),IF(F249&lt;=0.15,"X","")))</f>
        <v/>
      </c>
      <c r="H249" s="465" t="str">
        <f>IF(COUNTIF(B242:C250,""),"",IF($B$13="DR",IF(F249&gt;0.06,"X",""),IF(F249&gt;0.15,"X","")))</f>
        <v/>
      </c>
      <c r="I249" s="5">
        <f t="shared" si="27"/>
        <v>0</v>
      </c>
      <c r="J249" s="916"/>
      <c r="K249" s="916"/>
      <c r="L249" s="916"/>
      <c r="M249" s="929"/>
      <c r="N249" s="916"/>
      <c r="O249" s="916"/>
      <c r="P249" s="916"/>
      <c r="Q249" s="916"/>
      <c r="R249" s="916"/>
    </row>
    <row r="250" spans="1:18" ht="13.8" x14ac:dyDescent="0.3">
      <c r="A250" s="180">
        <v>9</v>
      </c>
      <c r="B250" s="196"/>
      <c r="C250" s="188"/>
      <c r="D250" s="464" t="str">
        <f>IF(COUNTIF(B242:C250,""),"",B250/C250)</f>
        <v/>
      </c>
      <c r="E250" s="1644"/>
      <c r="F250" s="46" t="str">
        <f>IF(COUNTIF(B242:C250,""),"",+ABS(D250-E248)/E248)</f>
        <v/>
      </c>
      <c r="G250" s="465" t="str">
        <f>IF(COUNTIF(B242:C250,""),"",IF($B$13="DR",IF(F250&lt;=0.06,"X",""),IF(F250&lt;=0.15,"X","")))</f>
        <v/>
      </c>
      <c r="H250" s="465" t="str">
        <f>IF(COUNTIF(B242:C250,""),"",IF($B$13="DR",IF(F250&gt;0.06,"X",""),IF(F250&gt;0.15,"X","")))</f>
        <v/>
      </c>
      <c r="I250" s="5">
        <f t="shared" si="27"/>
        <v>0</v>
      </c>
      <c r="J250" s="916"/>
      <c r="K250" s="916"/>
      <c r="L250" s="916"/>
      <c r="M250" s="929"/>
      <c r="N250" s="916"/>
      <c r="O250" s="916"/>
      <c r="P250" s="916"/>
      <c r="Q250" s="916"/>
      <c r="R250" s="916"/>
    </row>
    <row r="251" spans="1:18" ht="13.8" x14ac:dyDescent="0.3">
      <c r="F251" s="877"/>
      <c r="J251" s="916"/>
      <c r="K251" s="916"/>
      <c r="L251" s="916"/>
      <c r="M251" s="929"/>
      <c r="N251" s="916"/>
      <c r="O251" s="916"/>
      <c r="P251" s="916"/>
      <c r="Q251" s="916"/>
      <c r="R251" s="916"/>
    </row>
    <row r="252" spans="1:18" ht="13.8" x14ac:dyDescent="0.3">
      <c r="A252" s="563" t="s">
        <v>805</v>
      </c>
      <c r="B252" s="192" t="s">
        <v>664</v>
      </c>
      <c r="C252" s="563" t="s">
        <v>585</v>
      </c>
      <c r="D252" s="192">
        <v>73</v>
      </c>
      <c r="E252" s="191" t="s">
        <v>143</v>
      </c>
      <c r="F252" s="878"/>
      <c r="G252" s="176"/>
      <c r="H252" s="176"/>
      <c r="J252" s="916"/>
      <c r="K252" s="916"/>
      <c r="L252" s="916"/>
      <c r="M252" s="929"/>
      <c r="N252" s="916"/>
      <c r="O252" s="916"/>
      <c r="P252" s="916"/>
      <c r="Q252" s="916"/>
      <c r="R252" s="916"/>
    </row>
    <row r="253" spans="1:18" ht="13.8" x14ac:dyDescent="0.3">
      <c r="A253" s="549" t="s">
        <v>144</v>
      </c>
      <c r="B253" s="612" t="s">
        <v>161</v>
      </c>
      <c r="C253" s="457" t="s">
        <v>145</v>
      </c>
      <c r="D253" s="548" t="s">
        <v>146</v>
      </c>
      <c r="E253" s="1640" t="s">
        <v>147</v>
      </c>
      <c r="F253" s="879" t="s">
        <v>148</v>
      </c>
      <c r="G253" s="1518" t="s">
        <v>15</v>
      </c>
      <c r="H253" s="1518"/>
      <c r="I253" s="495"/>
      <c r="J253" s="916"/>
      <c r="K253" s="916"/>
      <c r="L253" s="916"/>
      <c r="M253" s="929"/>
      <c r="N253" s="916"/>
      <c r="O253" s="916"/>
      <c r="P253" s="916"/>
      <c r="Q253" s="916"/>
      <c r="R253" s="916"/>
    </row>
    <row r="254" spans="1:18" ht="13.8" x14ac:dyDescent="0.3">
      <c r="A254" s="459" t="s">
        <v>149</v>
      </c>
      <c r="B254" s="460" t="s">
        <v>150</v>
      </c>
      <c r="C254" s="461" t="s">
        <v>156</v>
      </c>
      <c r="D254" s="462" t="s">
        <v>157</v>
      </c>
      <c r="E254" s="1641"/>
      <c r="F254" s="880" t="s">
        <v>152</v>
      </c>
      <c r="G254" s="534" t="s">
        <v>16</v>
      </c>
      <c r="H254" s="534" t="s">
        <v>17</v>
      </c>
      <c r="I254" s="495"/>
      <c r="J254" s="916"/>
      <c r="K254" s="916"/>
      <c r="L254" s="916"/>
      <c r="M254" s="929"/>
      <c r="N254" s="916"/>
      <c r="O254" s="916"/>
      <c r="P254" s="916"/>
      <c r="Q254" s="916"/>
      <c r="R254" s="916"/>
    </row>
    <row r="255" spans="1:18" ht="13.8" x14ac:dyDescent="0.3">
      <c r="A255" s="198">
        <v>1</v>
      </c>
      <c r="B255" s="193">
        <v>703</v>
      </c>
      <c r="C255" s="188">
        <v>11</v>
      </c>
      <c r="D255" s="464">
        <f>IF(COUNTIF(B255:C263,""),"",B255/C255)</f>
        <v>63.909090909090907</v>
      </c>
      <c r="E255" s="1642">
        <f>IF(COUNTIF(B255:C263,""),"",AVERAGE(D255:D257))</f>
        <v>75.848484848484858</v>
      </c>
      <c r="F255" s="46">
        <f>IF(COUNTIF(B255:C263,""),"",+ABS(D255-E255)/E255)</f>
        <v>0.15741110667199376</v>
      </c>
      <c r="G255" s="465" t="str">
        <f>IF(COUNTIF(B255:C263,""),"",IF($B$13="DR",IF(F255&lt;=0.06,"X",""),IF(F255&lt;=0.15,"X","")))</f>
        <v/>
      </c>
      <c r="H255" s="465" t="str">
        <f>IF(COUNTIF(B255:C263,""),"",IF($B$13="DR",IF(F255&gt;0.06,"X",""),IF(F255&gt;0.15,"X","")))</f>
        <v>X</v>
      </c>
      <c r="I255" s="5">
        <f t="shared" ref="I255:I263" si="28">COUNTIF(H255,"X")</f>
        <v>1</v>
      </c>
      <c r="J255" s="916"/>
      <c r="K255" s="916"/>
      <c r="L255" s="916"/>
      <c r="M255" s="929"/>
      <c r="N255" s="916"/>
      <c r="O255" s="916"/>
      <c r="P255" s="916"/>
      <c r="Q255" s="916"/>
      <c r="R255" s="916"/>
    </row>
    <row r="256" spans="1:18" ht="13.8" x14ac:dyDescent="0.3">
      <c r="A256" s="199">
        <v>2</v>
      </c>
      <c r="B256" s="193">
        <v>750</v>
      </c>
      <c r="C256" s="188">
        <v>10</v>
      </c>
      <c r="D256" s="464">
        <f>IF(COUNTIF(B255:C263,""),"",B256/C256)</f>
        <v>75</v>
      </c>
      <c r="E256" s="1643"/>
      <c r="F256" s="46">
        <f>IF(COUNTIF(B255:C263,""),"",+ABS(D256-E255)/E255)</f>
        <v>1.1186576108669726E-2</v>
      </c>
      <c r="G256" s="465" t="str">
        <f>IF(COUNTIF(B255:C263,""),"",IF($B$13="DR",IF(F256&lt;=0.06,"X",""),IF(F256&lt;=0.15,"X","")))</f>
        <v>X</v>
      </c>
      <c r="H256" s="465" t="str">
        <f>IF(COUNTIF(B255:C263,""),"",IF($B$13="DR",IF(F256&gt;0.06,"X",""),IF(F256&gt;0.15,"X","")))</f>
        <v/>
      </c>
      <c r="I256" s="5">
        <f t="shared" si="28"/>
        <v>0</v>
      </c>
      <c r="J256" s="916"/>
      <c r="K256" s="916"/>
      <c r="L256" s="916"/>
      <c r="M256" s="929"/>
      <c r="N256" s="916"/>
      <c r="O256" s="916"/>
      <c r="P256" s="916"/>
      <c r="Q256" s="916"/>
      <c r="R256" s="916"/>
    </row>
    <row r="257" spans="1:18" ht="13.8" x14ac:dyDescent="0.3">
      <c r="A257" s="199">
        <v>3</v>
      </c>
      <c r="B257" s="193">
        <v>975</v>
      </c>
      <c r="C257" s="188">
        <v>11</v>
      </c>
      <c r="D257" s="464">
        <f>IF(COUNTIF(B255:C263,""),"",B257/C257)</f>
        <v>88.63636363636364</v>
      </c>
      <c r="E257" s="1644"/>
      <c r="F257" s="46">
        <f>IF(COUNTIF(B255:C263,""),"",+ABS(D257-E255)/E255)</f>
        <v>0.16859768278066312</v>
      </c>
      <c r="G257" s="465" t="str">
        <f>IF(COUNTIF(B255:C263,""),"",IF($B$13="DR",IF(F257&lt;=0.06,"X",""),IF(F257&lt;=0.15,"X","")))</f>
        <v/>
      </c>
      <c r="H257" s="465" t="str">
        <f>IF(COUNTIF(B255:C263,""),"",IF($B$13="DR",IF(F257&gt;0.06,"X",""),IF(F257&gt;0.15,"X","")))</f>
        <v>X</v>
      </c>
      <c r="I257" s="5">
        <f t="shared" si="28"/>
        <v>1</v>
      </c>
      <c r="J257" s="916"/>
      <c r="K257" s="916"/>
      <c r="L257" s="916"/>
      <c r="M257" s="929"/>
      <c r="N257" s="916"/>
      <c r="O257" s="916"/>
      <c r="P257" s="916"/>
      <c r="Q257" s="916"/>
      <c r="R257" s="916"/>
    </row>
    <row r="258" spans="1:18" ht="13.8" x14ac:dyDescent="0.3">
      <c r="A258" s="199">
        <v>4</v>
      </c>
      <c r="B258" s="195">
        <v>1300</v>
      </c>
      <c r="C258" s="188">
        <v>10</v>
      </c>
      <c r="D258" s="464">
        <f>IF(COUNTIF(B255:C263,""),"",B258/C258)</f>
        <v>130</v>
      </c>
      <c r="E258" s="1642">
        <f>IF(COUNTIF(B255:C263,""),"",AVERAGE(D258:D260))</f>
        <v>120</v>
      </c>
      <c r="F258" s="46">
        <f>IF(COUNTIF(B255:C263,""),"",+ABS(D258-E258)/E258)</f>
        <v>8.3333333333333329E-2</v>
      </c>
      <c r="G258" s="465" t="str">
        <f>IF(COUNTIF(B255:C263,""),"",IF($B$13="DR",IF(F258&lt;=0.06,"X",""),IF(F258&lt;=0.15,"X","")))</f>
        <v/>
      </c>
      <c r="H258" s="465" t="str">
        <f>IF(COUNTIF(B255:C263,""),"",IF($B$13="DR",IF(F258&gt;0.06,"X",""),IF(F258&gt;0.15,"X","")))</f>
        <v>X</v>
      </c>
      <c r="I258" s="5">
        <f t="shared" si="28"/>
        <v>1</v>
      </c>
      <c r="J258" s="916"/>
      <c r="K258" s="916"/>
      <c r="L258" s="916"/>
      <c r="M258" s="929"/>
      <c r="N258" s="916"/>
      <c r="O258" s="916"/>
      <c r="P258" s="916"/>
      <c r="Q258" s="916"/>
      <c r="R258" s="916"/>
    </row>
    <row r="259" spans="1:18" ht="13.8" x14ac:dyDescent="0.3">
      <c r="A259" s="200">
        <v>5</v>
      </c>
      <c r="B259" s="196">
        <v>1400</v>
      </c>
      <c r="C259" s="188">
        <v>14</v>
      </c>
      <c r="D259" s="464">
        <f>IF(COUNTIF(B255:C263,""),"",B259/C259)</f>
        <v>100</v>
      </c>
      <c r="E259" s="1643"/>
      <c r="F259" s="46">
        <f>IF(COUNTIF(B255:C263,""),"",+ABS(D259-E258)/E258)</f>
        <v>0.16666666666666666</v>
      </c>
      <c r="G259" s="465" t="str">
        <f>IF(COUNTIF(B255:C263,""),"",IF($B$13="DR",IF(F259&lt;=0.06,"X",""),IF(F259&lt;=0.15,"X","")))</f>
        <v/>
      </c>
      <c r="H259" s="465" t="str">
        <f>IF(COUNTIF(B255:C263,""),"",IF($B$13="DR",IF(F259&gt;0.06,"X",""),IF(F259&gt;0.15,"X","")))</f>
        <v>X</v>
      </c>
      <c r="I259" s="5">
        <f t="shared" si="28"/>
        <v>1</v>
      </c>
      <c r="J259" s="916"/>
      <c r="K259" s="916"/>
      <c r="L259" s="916" t="str">
        <f>B252</f>
        <v>cass#16</v>
      </c>
      <c r="M259" s="928" t="str">
        <f>E252</f>
        <v>24x30</v>
      </c>
      <c r="N259" s="927">
        <f>B259</f>
        <v>1400</v>
      </c>
      <c r="O259" s="927">
        <f>C259</f>
        <v>14</v>
      </c>
      <c r="P259" s="916"/>
      <c r="Q259" s="927">
        <f>D252</f>
        <v>73</v>
      </c>
      <c r="R259" s="916"/>
    </row>
    <row r="260" spans="1:18" ht="13.8" x14ac:dyDescent="0.3">
      <c r="A260" s="199">
        <v>6</v>
      </c>
      <c r="B260" s="196">
        <v>1300</v>
      </c>
      <c r="C260" s="188">
        <v>10</v>
      </c>
      <c r="D260" s="464">
        <f>IF(COUNTIF(B255:C263,""),"",B260/C260)</f>
        <v>130</v>
      </c>
      <c r="E260" s="1644"/>
      <c r="F260" s="46">
        <f>IF(COUNTIF(B255:C263,""),"",+ABS(D260-E258)/E258)</f>
        <v>8.3333333333333329E-2</v>
      </c>
      <c r="G260" s="465" t="str">
        <f>IF(COUNTIF(B255:C263,""),"",IF($B$13="DR",IF(F260&lt;=0.06,"X",""),IF(F260&lt;=0.15,"X","")))</f>
        <v/>
      </c>
      <c r="H260" s="465" t="str">
        <f>IF(COUNTIF(B255:C263,""),"",IF($B$13="DR",IF(F260&gt;0.06,"X",""),IF(F260&gt;0.15,"X","")))</f>
        <v>X</v>
      </c>
      <c r="I260" s="5">
        <f t="shared" si="28"/>
        <v>1</v>
      </c>
      <c r="J260" s="916"/>
      <c r="K260" s="916"/>
      <c r="L260" s="916"/>
      <c r="M260" s="929"/>
      <c r="N260" s="916"/>
      <c r="O260" s="916"/>
      <c r="P260" s="916"/>
      <c r="Q260" s="916"/>
      <c r="R260" s="916"/>
    </row>
    <row r="261" spans="1:18" ht="13.8" x14ac:dyDescent="0.3">
      <c r="A261" s="200">
        <v>7</v>
      </c>
      <c r="B261" s="196">
        <v>900</v>
      </c>
      <c r="C261" s="188">
        <v>10</v>
      </c>
      <c r="D261" s="464">
        <f>IF(COUNTIF(B255:C263,""),"",B261/C261)</f>
        <v>90</v>
      </c>
      <c r="E261" s="1642">
        <f>IF(COUNTIF(B255:C263,""),"",AVERAGE(D261:D263))</f>
        <v>114.24242424242425</v>
      </c>
      <c r="F261" s="46">
        <f>IF(COUNTIF(B255:C263,""),"",+ABS(D261-E261)/E261)</f>
        <v>0.21220159151193638</v>
      </c>
      <c r="G261" s="465" t="str">
        <f>IF(COUNTIF(B255:C263,""),"",IF($B$13="DR",IF(F261&lt;=0.06,"X",""),IF(F261&lt;=0.15,"X","")))</f>
        <v/>
      </c>
      <c r="H261" s="465" t="str">
        <f>IF(COUNTIF(B255:C263,""),"",IF($B$13="DR",IF(F261&gt;0.06,"X",""),IF(F261&gt;0.15,"X","")))</f>
        <v>X</v>
      </c>
      <c r="I261" s="5">
        <f t="shared" si="28"/>
        <v>1</v>
      </c>
      <c r="J261" s="916"/>
      <c r="K261" s="916"/>
      <c r="L261" s="916"/>
      <c r="M261" s="929"/>
      <c r="N261" s="916"/>
      <c r="O261" s="916"/>
      <c r="P261" s="916"/>
      <c r="Q261" s="916"/>
      <c r="R261" s="916"/>
    </row>
    <row r="262" spans="1:18" ht="13.8" x14ac:dyDescent="0.3">
      <c r="A262" s="201">
        <v>8</v>
      </c>
      <c r="B262" s="196">
        <v>1350</v>
      </c>
      <c r="C262" s="188">
        <v>11</v>
      </c>
      <c r="D262" s="464">
        <f>IF(COUNTIF(B255:C263,""),"",B262/C262)</f>
        <v>122.72727272727273</v>
      </c>
      <c r="E262" s="1643"/>
      <c r="F262" s="46">
        <f>IF(COUNTIF(B255:C263,""),"",+ABS(D262-E261)/E261)</f>
        <v>7.4270557029177717E-2</v>
      </c>
      <c r="G262" s="465" t="str">
        <f>IF(COUNTIF(B255:C263,""),"",IF($B$13="DR",IF(F262&lt;=0.06,"X",""),IF(F262&lt;=0.15,"X","")))</f>
        <v/>
      </c>
      <c r="H262" s="465" t="str">
        <f>IF(COUNTIF(B255:C263,""),"",IF($B$13="DR",IF(F262&gt;0.06,"X",""),IF(F262&gt;0.15,"X","")))</f>
        <v>X</v>
      </c>
      <c r="I262" s="5">
        <f t="shared" si="28"/>
        <v>1</v>
      </c>
      <c r="J262" s="916"/>
      <c r="K262" s="916"/>
      <c r="L262" s="916"/>
      <c r="M262" s="929"/>
      <c r="N262" s="916"/>
      <c r="O262" s="916"/>
      <c r="P262" s="916"/>
      <c r="Q262" s="916"/>
      <c r="R262" s="916"/>
    </row>
    <row r="263" spans="1:18" ht="13.8" x14ac:dyDescent="0.3">
      <c r="A263" s="180">
        <v>9</v>
      </c>
      <c r="B263" s="196">
        <v>1300</v>
      </c>
      <c r="C263" s="188">
        <v>10</v>
      </c>
      <c r="D263" s="464">
        <f>IF(COUNTIF(B255:C263,""),"",B263/C263)</f>
        <v>130</v>
      </c>
      <c r="E263" s="1644"/>
      <c r="F263" s="46">
        <f>IF(COUNTIF(B255:C263,""),"",+ABS(D263-E261)/E261)</f>
        <v>0.13793103448275856</v>
      </c>
      <c r="G263" s="465" t="str">
        <f>IF(COUNTIF(B255:C263,""),"",IF($B$13="DR",IF(F263&lt;=0.06,"X",""),IF(F263&lt;=0.15,"X","")))</f>
        <v/>
      </c>
      <c r="H263" s="465" t="str">
        <f>IF(COUNTIF(B255:C263,""),"",IF($B$13="DR",IF(F263&gt;0.06,"X",""),IF(F263&gt;0.15,"X","")))</f>
        <v>X</v>
      </c>
      <c r="I263" s="5">
        <f t="shared" si="28"/>
        <v>1</v>
      </c>
      <c r="J263" s="916"/>
      <c r="K263" s="916"/>
      <c r="L263" s="916"/>
      <c r="M263" s="929"/>
      <c r="N263" s="916"/>
      <c r="O263" s="916"/>
      <c r="P263" s="916"/>
      <c r="Q263" s="916"/>
      <c r="R263" s="916"/>
    </row>
    <row r="264" spans="1:18" ht="13.8" x14ac:dyDescent="0.3">
      <c r="F264" s="877"/>
      <c r="J264" s="916"/>
      <c r="K264" s="916"/>
      <c r="L264" s="916"/>
      <c r="M264" s="929"/>
      <c r="N264" s="916"/>
      <c r="O264" s="916"/>
      <c r="P264" s="916"/>
      <c r="Q264" s="916"/>
      <c r="R264" s="916"/>
    </row>
    <row r="265" spans="1:18" ht="13.8" x14ac:dyDescent="0.3">
      <c r="A265" s="563" t="s">
        <v>805</v>
      </c>
      <c r="B265" s="192" t="s">
        <v>665</v>
      </c>
      <c r="C265" s="563" t="s">
        <v>585</v>
      </c>
      <c r="D265" s="192">
        <v>72</v>
      </c>
      <c r="E265" s="191" t="s">
        <v>143</v>
      </c>
      <c r="F265" s="878"/>
      <c r="G265" s="176"/>
      <c r="H265" s="176"/>
      <c r="J265" s="916"/>
      <c r="K265" s="916"/>
      <c r="L265" s="916"/>
      <c r="M265" s="929"/>
      <c r="N265" s="916"/>
      <c r="O265" s="916"/>
      <c r="P265" s="916"/>
      <c r="Q265" s="916"/>
      <c r="R265" s="916"/>
    </row>
    <row r="266" spans="1:18" ht="13.8" x14ac:dyDescent="0.3">
      <c r="A266" s="549" t="s">
        <v>144</v>
      </c>
      <c r="B266" s="457" t="s">
        <v>161</v>
      </c>
      <c r="C266" s="457" t="s">
        <v>145</v>
      </c>
      <c r="D266" s="548" t="s">
        <v>146</v>
      </c>
      <c r="E266" s="1640" t="s">
        <v>147</v>
      </c>
      <c r="F266" s="879" t="s">
        <v>148</v>
      </c>
      <c r="G266" s="1518" t="s">
        <v>15</v>
      </c>
      <c r="H266" s="1518"/>
      <c r="I266" s="495"/>
      <c r="J266" s="916"/>
      <c r="K266" s="916"/>
      <c r="L266" s="916"/>
      <c r="M266" s="929"/>
      <c r="N266" s="916"/>
      <c r="O266" s="916"/>
      <c r="P266" s="916"/>
      <c r="Q266" s="916"/>
      <c r="R266" s="916"/>
    </row>
    <row r="267" spans="1:18" ht="13.8" x14ac:dyDescent="0.3">
      <c r="A267" s="459" t="s">
        <v>149</v>
      </c>
      <c r="B267" s="460" t="s">
        <v>150</v>
      </c>
      <c r="C267" s="461" t="s">
        <v>156</v>
      </c>
      <c r="D267" s="462" t="s">
        <v>157</v>
      </c>
      <c r="E267" s="1641"/>
      <c r="F267" s="880" t="s">
        <v>152</v>
      </c>
      <c r="G267" s="534" t="s">
        <v>16</v>
      </c>
      <c r="H267" s="534" t="s">
        <v>17</v>
      </c>
      <c r="I267" s="495"/>
      <c r="J267" s="916"/>
      <c r="K267" s="916"/>
      <c r="L267" s="916"/>
      <c r="M267" s="929"/>
      <c r="N267" s="916"/>
      <c r="O267" s="916"/>
      <c r="P267" s="916"/>
      <c r="Q267" s="916"/>
      <c r="R267" s="916"/>
    </row>
    <row r="268" spans="1:18" ht="13.8" x14ac:dyDescent="0.3">
      <c r="A268" s="198">
        <v>1</v>
      </c>
      <c r="B268" s="193">
        <v>703</v>
      </c>
      <c r="C268" s="188">
        <v>11</v>
      </c>
      <c r="D268" s="464">
        <f>IF(COUNTIF(B268:C276,""),"",B268/C268)</f>
        <v>63.909090909090907</v>
      </c>
      <c r="E268" s="1642">
        <f>IF(COUNTIF(B268:C276,""),"",AVERAGE(D268:D270))</f>
        <v>75.090909090909079</v>
      </c>
      <c r="F268" s="46">
        <f>IF(COUNTIF(B268:C276,""),"",+ABS(D268-E268)/E268)</f>
        <v>0.14891041162227595</v>
      </c>
      <c r="G268" s="465" t="str">
        <f>IF(COUNTIF(B268:C276,""),"",IF($B$13="DR",IF(F268&lt;=0.06,"X",""),IF(F268&lt;=0.15,"X","")))</f>
        <v/>
      </c>
      <c r="H268" s="465" t="str">
        <f>IF(COUNTIF(B268:C276,""),"",IF($B$13="DR",IF(F268&gt;0.06,"X",""),IF(F268&gt;0.15,"X","")))</f>
        <v>X</v>
      </c>
      <c r="I268" s="5">
        <f t="shared" ref="I268:I276" si="29">COUNTIF(H268,"X")</f>
        <v>1</v>
      </c>
      <c r="J268" s="916"/>
      <c r="K268" s="916"/>
      <c r="L268" s="916"/>
      <c r="M268" s="929"/>
      <c r="N268" s="916"/>
      <c r="O268" s="916"/>
      <c r="P268" s="916"/>
      <c r="Q268" s="916"/>
      <c r="R268" s="916"/>
    </row>
    <row r="269" spans="1:18" ht="13.8" x14ac:dyDescent="0.3">
      <c r="A269" s="199">
        <v>2</v>
      </c>
      <c r="B269" s="193">
        <v>750</v>
      </c>
      <c r="C269" s="188">
        <v>10</v>
      </c>
      <c r="D269" s="464">
        <f>IF(COUNTIF(B268:C276,""),"",B269/C269)</f>
        <v>75</v>
      </c>
      <c r="E269" s="1643"/>
      <c r="F269" s="46">
        <f>IF(COUNTIF(B268:C276,""),"",+ABS(D269-E268)/E268)</f>
        <v>1.2106537530264798E-3</v>
      </c>
      <c r="G269" s="465" t="str">
        <f>IF(COUNTIF(B268:C276,""),"",IF($B$13="DR",IF(F269&lt;=0.06,"X",""),IF(F269&lt;=0.15,"X","")))</f>
        <v>X</v>
      </c>
      <c r="H269" s="465" t="str">
        <f>IF(COUNTIF(B268:C276,""),"",IF($B$13="DR",IF(F269&gt;0.06,"X",""),IF(F269&gt;0.15,"X","")))</f>
        <v/>
      </c>
      <c r="I269" s="5">
        <f t="shared" si="29"/>
        <v>0</v>
      </c>
      <c r="J269" s="916"/>
      <c r="K269" s="916"/>
      <c r="L269" s="916"/>
      <c r="M269" s="929"/>
      <c r="N269" s="916"/>
      <c r="O269" s="916"/>
      <c r="P269" s="916"/>
      <c r="Q269" s="916"/>
      <c r="R269" s="916"/>
    </row>
    <row r="270" spans="1:18" ht="13.8" x14ac:dyDescent="0.3">
      <c r="A270" s="199">
        <v>3</v>
      </c>
      <c r="B270" s="193">
        <v>950</v>
      </c>
      <c r="C270" s="188">
        <v>11</v>
      </c>
      <c r="D270" s="464">
        <f>IF(COUNTIF(B268:C276,""),"",B270/C270)</f>
        <v>86.36363636363636</v>
      </c>
      <c r="E270" s="1644"/>
      <c r="F270" s="46">
        <f>IF(COUNTIF(B268:C276,""),"",+ABS(D270-E268)/E268)</f>
        <v>0.15012106537530279</v>
      </c>
      <c r="G270" s="465" t="str">
        <f>IF(COUNTIF(B268:C276,""),"",IF($B$13="DR",IF(F270&lt;=0.06,"X",""),IF(F270&lt;=0.15,"X","")))</f>
        <v/>
      </c>
      <c r="H270" s="465" t="str">
        <f>IF(COUNTIF(B268:C276,""),"",IF($B$13="DR",IF(F270&gt;0.06,"X",""),IF(F270&gt;0.15,"X","")))</f>
        <v>X</v>
      </c>
      <c r="I270" s="5">
        <f t="shared" si="29"/>
        <v>1</v>
      </c>
      <c r="J270" s="916"/>
      <c r="K270" s="916"/>
      <c r="L270" s="916"/>
      <c r="M270" s="929"/>
      <c r="N270" s="916"/>
      <c r="O270" s="916"/>
      <c r="P270" s="916"/>
      <c r="Q270" s="916"/>
      <c r="R270" s="916"/>
    </row>
    <row r="271" spans="1:18" ht="13.8" x14ac:dyDescent="0.3">
      <c r="A271" s="199">
        <v>4</v>
      </c>
      <c r="B271" s="195">
        <v>1300</v>
      </c>
      <c r="C271" s="188">
        <v>10</v>
      </c>
      <c r="D271" s="464">
        <f>IF(COUNTIF(B268:C276,""),"",B271/C271)</f>
        <v>130</v>
      </c>
      <c r="E271" s="1642">
        <f>IF(COUNTIF(B268:C276,""),"",AVERAGE(D271:D273))</f>
        <v>132.12121212121212</v>
      </c>
      <c r="F271" s="46">
        <f>IF(COUNTIF(B268:C276,""),"",+ABS(D271-E271)/E271)</f>
        <v>1.6055045871559658E-2</v>
      </c>
      <c r="G271" s="465" t="str">
        <f>IF(COUNTIF(B268:C276,""),"",IF($B$13="DR",IF(F271&lt;=0.06,"X",""),IF(F271&lt;=0.15,"X","")))</f>
        <v>X</v>
      </c>
      <c r="H271" s="465" t="str">
        <f>IF(COUNTIF(B268:C276,""),"",IF($B$13="DR",IF(F271&gt;0.06,"X",""),IF(F271&gt;0.15,"X","")))</f>
        <v/>
      </c>
      <c r="I271" s="5">
        <f t="shared" si="29"/>
        <v>0</v>
      </c>
      <c r="J271" s="916"/>
      <c r="K271" s="916"/>
      <c r="L271" s="916"/>
      <c r="M271" s="929"/>
      <c r="N271" s="916"/>
      <c r="O271" s="916"/>
      <c r="P271" s="916"/>
      <c r="Q271" s="916"/>
      <c r="R271" s="916"/>
    </row>
    <row r="272" spans="1:18" ht="13.8" x14ac:dyDescent="0.3">
      <c r="A272" s="200">
        <v>5</v>
      </c>
      <c r="B272" s="196">
        <v>1500</v>
      </c>
      <c r="C272" s="188">
        <v>11</v>
      </c>
      <c r="D272" s="464">
        <f>IF(COUNTIF(B268:C276,""),"",B272/C272)</f>
        <v>136.36363636363637</v>
      </c>
      <c r="E272" s="1643"/>
      <c r="F272" s="46">
        <f>IF(COUNTIF(B268:C276,""),"",+ABS(D272-E271)/E271)</f>
        <v>3.2110091743119316E-2</v>
      </c>
      <c r="G272" s="465" t="str">
        <f>IF(COUNTIF(B268:C276,""),"",IF($B$13="DR",IF(F272&lt;=0.06,"X",""),IF(F272&lt;=0.15,"X","")))</f>
        <v>X</v>
      </c>
      <c r="H272" s="465" t="str">
        <f>IF(COUNTIF(B268:C276,""),"",IF($B$13="DR",IF(F272&gt;0.06,"X",""),IF(F272&gt;0.15,"X","")))</f>
        <v/>
      </c>
      <c r="I272" s="5">
        <f t="shared" si="29"/>
        <v>0</v>
      </c>
      <c r="J272" s="916"/>
      <c r="K272" s="916"/>
      <c r="L272" s="916" t="str">
        <f>B265</f>
        <v>cass#17</v>
      </c>
      <c r="M272" s="928" t="str">
        <f>E265</f>
        <v>24x30</v>
      </c>
      <c r="N272" s="927">
        <f>B272</f>
        <v>1500</v>
      </c>
      <c r="O272" s="927">
        <f>C272</f>
        <v>11</v>
      </c>
      <c r="P272" s="916"/>
      <c r="Q272" s="927">
        <f>D265</f>
        <v>72</v>
      </c>
      <c r="R272" s="916"/>
    </row>
    <row r="273" spans="1:18" ht="13.8" x14ac:dyDescent="0.3">
      <c r="A273" s="199">
        <v>6</v>
      </c>
      <c r="B273" s="196">
        <v>1300</v>
      </c>
      <c r="C273" s="188">
        <v>10</v>
      </c>
      <c r="D273" s="464">
        <f>IF(COUNTIF(B268:C276,""),"",B273/C273)</f>
        <v>130</v>
      </c>
      <c r="E273" s="1644"/>
      <c r="F273" s="46">
        <f>IF(COUNTIF(B268:C276,""),"",+ABS(D273-E271)/E271)</f>
        <v>1.6055045871559658E-2</v>
      </c>
      <c r="G273" s="465" t="str">
        <f>IF(COUNTIF(B268:C276,""),"",IF($B$13="DR",IF(F273&lt;=0.06,"X",""),IF(F273&lt;=0.15,"X","")))</f>
        <v>X</v>
      </c>
      <c r="H273" s="465" t="str">
        <f>IF(COUNTIF(B268:C276,""),"",IF($B$13="DR",IF(F273&gt;0.06,"X",""),IF(F273&gt;0.15,"X","")))</f>
        <v/>
      </c>
      <c r="I273" s="5">
        <f t="shared" si="29"/>
        <v>0</v>
      </c>
      <c r="J273" s="916"/>
      <c r="K273" s="916"/>
      <c r="L273" s="916"/>
      <c r="M273" s="929"/>
      <c r="N273" s="916"/>
      <c r="O273" s="916"/>
      <c r="P273" s="916"/>
      <c r="Q273" s="916"/>
      <c r="R273" s="916"/>
    </row>
    <row r="274" spans="1:18" ht="13.8" x14ac:dyDescent="0.3">
      <c r="A274" s="200">
        <v>7</v>
      </c>
      <c r="B274" s="196">
        <v>900</v>
      </c>
      <c r="C274" s="188">
        <v>10</v>
      </c>
      <c r="D274" s="464">
        <f>IF(COUNTIF(B268:C276,""),"",B274/C274)</f>
        <v>90</v>
      </c>
      <c r="E274" s="1642">
        <f>IF(COUNTIF(B268:C276,""),"",AVERAGE(D274:D276))</f>
        <v>114.24242424242425</v>
      </c>
      <c r="F274" s="46">
        <f>IF(COUNTIF(B268:C276,""),"",+ABS(D274-E274)/E274)</f>
        <v>0.21220159151193638</v>
      </c>
      <c r="G274" s="465" t="str">
        <f>IF(COUNTIF(B268:C276,""),"",IF($B$13="DR",IF(F274&lt;=0.06,"X",""),IF(F274&lt;=0.15,"X","")))</f>
        <v/>
      </c>
      <c r="H274" s="465" t="str">
        <f>IF(COUNTIF(B268:C276,""),"",IF($B$13="DR",IF(F274&gt;0.06,"X",""),IF(F274&gt;0.15,"X","")))</f>
        <v>X</v>
      </c>
      <c r="I274" s="5">
        <f t="shared" si="29"/>
        <v>1</v>
      </c>
      <c r="J274" s="916"/>
      <c r="K274" s="916"/>
      <c r="L274" s="916"/>
      <c r="M274" s="929"/>
      <c r="N274" s="916"/>
      <c r="O274" s="916"/>
      <c r="P274" s="916"/>
      <c r="Q274" s="916"/>
      <c r="R274" s="916"/>
    </row>
    <row r="275" spans="1:18" ht="13.8" x14ac:dyDescent="0.3">
      <c r="A275" s="201">
        <v>8</v>
      </c>
      <c r="B275" s="196">
        <v>1350</v>
      </c>
      <c r="C275" s="188">
        <v>11</v>
      </c>
      <c r="D275" s="464">
        <f>IF(COUNTIF(B268:C276,""),"",B275/C275)</f>
        <v>122.72727272727273</v>
      </c>
      <c r="E275" s="1643"/>
      <c r="F275" s="46">
        <f>IF(COUNTIF(B268:C276,""),"",+ABS(D275-E274)/E274)</f>
        <v>7.4270557029177717E-2</v>
      </c>
      <c r="G275" s="465" t="str">
        <f>IF(COUNTIF(B268:C276,""),"",IF($B$13="DR",IF(F275&lt;=0.06,"X",""),IF(F275&lt;=0.15,"X","")))</f>
        <v/>
      </c>
      <c r="H275" s="465" t="str">
        <f>IF(COUNTIF(B268:C276,""),"",IF($B$13="DR",IF(F275&gt;0.06,"X",""),IF(F275&gt;0.15,"X","")))</f>
        <v>X</v>
      </c>
      <c r="I275" s="5">
        <f t="shared" si="29"/>
        <v>1</v>
      </c>
      <c r="J275" s="916"/>
      <c r="K275" s="916"/>
      <c r="L275" s="916"/>
      <c r="M275" s="929"/>
      <c r="N275" s="916"/>
      <c r="O275" s="916"/>
      <c r="P275" s="916"/>
      <c r="Q275" s="916"/>
      <c r="R275" s="916"/>
    </row>
    <row r="276" spans="1:18" ht="13.8" x14ac:dyDescent="0.3">
      <c r="A276" s="180">
        <v>9</v>
      </c>
      <c r="B276" s="196">
        <v>1300</v>
      </c>
      <c r="C276" s="188">
        <v>10</v>
      </c>
      <c r="D276" s="464">
        <f>IF(COUNTIF(B268:C276,""),"",B276/C276)</f>
        <v>130</v>
      </c>
      <c r="E276" s="1644"/>
      <c r="F276" s="46">
        <f>IF(COUNTIF(B268:C276,""),"",+ABS(D276-E274)/E274)</f>
        <v>0.13793103448275856</v>
      </c>
      <c r="G276" s="465" t="str">
        <f>IF(COUNTIF(B268:C276,""),"",IF($B$13="DR",IF(F276&lt;=0.06,"X",""),IF(F276&lt;=0.15,"X","")))</f>
        <v/>
      </c>
      <c r="H276" s="465" t="str">
        <f>IF(COUNTIF(B268:C276,""),"",IF($B$13="DR",IF(F276&gt;0.06,"X",""),IF(F276&gt;0.15,"X","")))</f>
        <v>X</v>
      </c>
      <c r="I276" s="5">
        <f t="shared" si="29"/>
        <v>1</v>
      </c>
      <c r="J276" s="916"/>
      <c r="K276" s="916"/>
      <c r="L276" s="916"/>
      <c r="M276" s="929"/>
      <c r="N276" s="916"/>
      <c r="O276" s="916"/>
      <c r="P276" s="916"/>
      <c r="Q276" s="916"/>
      <c r="R276" s="916"/>
    </row>
    <row r="277" spans="1:18" ht="13.8" x14ac:dyDescent="0.3">
      <c r="F277" s="877"/>
      <c r="J277" s="916"/>
      <c r="K277" s="916"/>
      <c r="L277" s="916"/>
      <c r="M277" s="929"/>
      <c r="N277" s="916"/>
      <c r="O277" s="916"/>
      <c r="P277" s="916"/>
      <c r="Q277" s="916"/>
      <c r="R277" s="916"/>
    </row>
    <row r="278" spans="1:18" ht="13.8" x14ac:dyDescent="0.3">
      <c r="A278" s="563" t="s">
        <v>805</v>
      </c>
      <c r="B278" s="192" t="s">
        <v>666</v>
      </c>
      <c r="C278" s="563" t="s">
        <v>585</v>
      </c>
      <c r="D278" s="192">
        <v>71</v>
      </c>
      <c r="E278" s="191"/>
      <c r="F278" s="878"/>
      <c r="G278" s="176"/>
      <c r="H278" s="176"/>
      <c r="J278" s="916"/>
      <c r="K278" s="916"/>
      <c r="L278" s="916"/>
      <c r="M278" s="929"/>
      <c r="N278" s="916"/>
      <c r="O278" s="916"/>
      <c r="P278" s="916"/>
      <c r="Q278" s="916"/>
      <c r="R278" s="916"/>
    </row>
    <row r="279" spans="1:18" ht="13.8" x14ac:dyDescent="0.3">
      <c r="A279" s="549" t="s">
        <v>144</v>
      </c>
      <c r="B279" s="457" t="s">
        <v>161</v>
      </c>
      <c r="C279" s="457" t="s">
        <v>145</v>
      </c>
      <c r="D279" s="548" t="s">
        <v>146</v>
      </c>
      <c r="E279" s="1640" t="s">
        <v>147</v>
      </c>
      <c r="F279" s="879" t="s">
        <v>148</v>
      </c>
      <c r="G279" s="1518" t="s">
        <v>15</v>
      </c>
      <c r="H279" s="1518"/>
      <c r="I279" s="495"/>
      <c r="J279" s="916"/>
      <c r="K279" s="916"/>
      <c r="L279" s="916"/>
      <c r="M279" s="929"/>
      <c r="N279" s="916"/>
      <c r="O279" s="916"/>
      <c r="P279" s="916"/>
      <c r="Q279" s="916"/>
      <c r="R279" s="916"/>
    </row>
    <row r="280" spans="1:18" ht="13.8" x14ac:dyDescent="0.3">
      <c r="A280" s="459" t="s">
        <v>149</v>
      </c>
      <c r="B280" s="460" t="s">
        <v>150</v>
      </c>
      <c r="C280" s="461" t="s">
        <v>156</v>
      </c>
      <c r="D280" s="462" t="s">
        <v>157</v>
      </c>
      <c r="E280" s="1641"/>
      <c r="F280" s="880" t="s">
        <v>152</v>
      </c>
      <c r="G280" s="534" t="s">
        <v>16</v>
      </c>
      <c r="H280" s="534" t="s">
        <v>17</v>
      </c>
      <c r="I280" s="495"/>
      <c r="J280" s="916"/>
      <c r="K280" s="916"/>
      <c r="L280" s="916"/>
      <c r="M280" s="929"/>
      <c r="N280" s="916"/>
      <c r="O280" s="916"/>
      <c r="P280" s="916"/>
      <c r="Q280" s="916"/>
      <c r="R280" s="916"/>
    </row>
    <row r="281" spans="1:18" ht="13.8" x14ac:dyDescent="0.3">
      <c r="A281" s="198">
        <v>1</v>
      </c>
      <c r="B281" s="193">
        <v>703</v>
      </c>
      <c r="C281" s="188"/>
      <c r="D281" s="464" t="str">
        <f>IF(COUNTIF(B281:C289,""),"",B281/C281)</f>
        <v/>
      </c>
      <c r="E281" s="1642" t="str">
        <f>IF(COUNTIF(B281:C289,""),"",AVERAGE(D281:D283))</f>
        <v/>
      </c>
      <c r="F281" s="46" t="str">
        <f>IF(COUNTIF(B281:C289,""),"",+ABS(D281-E281)/E281)</f>
        <v/>
      </c>
      <c r="G281" s="465" t="str">
        <f>IF(COUNTIF(B281:C289,""),"",IF($B$13="DR",IF(F281&lt;=0.06,"X",""),IF(F281&lt;=0.15,"X","")))</f>
        <v/>
      </c>
      <c r="H281" s="465" t="str">
        <f>IF(COUNTIF(B281:C289,""),"",IF($B$13="DR",IF(F281&gt;0.06,"X",""),IF(F281&gt;0.15,"X","")))</f>
        <v/>
      </c>
      <c r="I281" s="5">
        <f t="shared" ref="I281:I289" si="30">COUNTIF(H281,"X")</f>
        <v>0</v>
      </c>
      <c r="J281" s="916"/>
      <c r="K281" s="916"/>
      <c r="L281" s="916"/>
      <c r="M281" s="929"/>
      <c r="N281" s="916"/>
      <c r="O281" s="916"/>
      <c r="P281" s="916"/>
      <c r="Q281" s="916"/>
      <c r="R281" s="916"/>
    </row>
    <row r="282" spans="1:18" ht="13.8" x14ac:dyDescent="0.3">
      <c r="A282" s="199">
        <v>2</v>
      </c>
      <c r="B282" s="193">
        <v>750</v>
      </c>
      <c r="C282" s="188"/>
      <c r="D282" s="464" t="str">
        <f>IF(COUNTIF(B281:C289,""),"",B282/C282)</f>
        <v/>
      </c>
      <c r="E282" s="1643"/>
      <c r="F282" s="46" t="str">
        <f>IF(COUNTIF(B281:C289,""),"",+ABS(D282-E281)/E281)</f>
        <v/>
      </c>
      <c r="G282" s="465" t="str">
        <f>IF(COUNTIF(B281:C289,""),"",IF($B$13="DR",IF(F282&lt;=0.06,"X",""),IF(F282&lt;=0.15,"X","")))</f>
        <v/>
      </c>
      <c r="H282" s="465" t="str">
        <f>IF(COUNTIF(B281:C289,""),"",IF($B$13="DR",IF(F282&gt;0.06,"X",""),IF(F282&gt;0.15,"X","")))</f>
        <v/>
      </c>
      <c r="I282" s="5">
        <f t="shared" si="30"/>
        <v>0</v>
      </c>
      <c r="J282" s="916"/>
      <c r="K282" s="916"/>
      <c r="L282" s="916"/>
      <c r="M282" s="929"/>
      <c r="N282" s="916"/>
      <c r="O282" s="916"/>
      <c r="P282" s="916"/>
      <c r="Q282" s="916"/>
      <c r="R282" s="916"/>
    </row>
    <row r="283" spans="1:18" ht="13.8" x14ac:dyDescent="0.3">
      <c r="A283" s="199">
        <v>3</v>
      </c>
      <c r="B283" s="193">
        <v>950</v>
      </c>
      <c r="C283" s="188"/>
      <c r="D283" s="464" t="str">
        <f>IF(COUNTIF(B281:C289,""),"",B283/C283)</f>
        <v/>
      </c>
      <c r="E283" s="1644"/>
      <c r="F283" s="46" t="str">
        <f>IF(COUNTIF(B281:C289,""),"",+ABS(D283-E281)/E281)</f>
        <v/>
      </c>
      <c r="G283" s="465" t="str">
        <f>IF(COUNTIF(B281:C289,""),"",IF($B$13="DR",IF(F283&lt;=0.06,"X",""),IF(F283&lt;=0.15,"X","")))</f>
        <v/>
      </c>
      <c r="H283" s="465" t="str">
        <f>IF(COUNTIF(B281:C289,""),"",IF($B$13="DR",IF(F283&gt;0.06,"X",""),IF(F283&gt;0.15,"X","")))</f>
        <v/>
      </c>
      <c r="I283" s="5">
        <f t="shared" si="30"/>
        <v>0</v>
      </c>
      <c r="J283" s="916"/>
      <c r="K283" s="916"/>
      <c r="L283" s="916"/>
      <c r="M283" s="929"/>
      <c r="N283" s="916"/>
      <c r="O283" s="916"/>
      <c r="P283" s="916"/>
      <c r="Q283" s="916"/>
      <c r="R283" s="916"/>
    </row>
    <row r="284" spans="1:18" ht="13.8" x14ac:dyDescent="0.3">
      <c r="A284" s="199">
        <v>4</v>
      </c>
      <c r="B284" s="195">
        <v>1300</v>
      </c>
      <c r="C284" s="188"/>
      <c r="D284" s="464" t="str">
        <f>IF(COUNTIF(B281:C289,""),"",B284/C284)</f>
        <v/>
      </c>
      <c r="E284" s="1642" t="str">
        <f>IF(COUNTIF(B281:C289,""),"",AVERAGE(D284:D286))</f>
        <v/>
      </c>
      <c r="F284" s="46" t="str">
        <f>IF(COUNTIF(B281:C289,""),"",+ABS(D284-E284)/E284)</f>
        <v/>
      </c>
      <c r="G284" s="465" t="str">
        <f>IF(COUNTIF(B281:C289,""),"",IF($B$13="DR",IF(F284&lt;=0.06,"X",""),IF(F284&lt;=0.15,"X","")))</f>
        <v/>
      </c>
      <c r="H284" s="465" t="str">
        <f>IF(COUNTIF(B281:C289,""),"",IF($B$13="DR",IF(F284&gt;0.06,"X",""),IF(F284&gt;0.15,"X","")))</f>
        <v/>
      </c>
      <c r="I284" s="5">
        <f t="shared" si="30"/>
        <v>0</v>
      </c>
      <c r="J284" s="916"/>
      <c r="K284" s="916"/>
      <c r="L284" s="916"/>
      <c r="M284" s="929"/>
      <c r="N284" s="916"/>
      <c r="O284" s="916"/>
      <c r="P284" s="916"/>
      <c r="Q284" s="916"/>
      <c r="R284" s="916"/>
    </row>
    <row r="285" spans="1:18" ht="13.8" x14ac:dyDescent="0.3">
      <c r="A285" s="200">
        <v>5</v>
      </c>
      <c r="B285" s="196">
        <v>1600</v>
      </c>
      <c r="C285" s="188"/>
      <c r="D285" s="464" t="str">
        <f>IF(COUNTIF(B281:C289,""),"",B285/C285)</f>
        <v/>
      </c>
      <c r="E285" s="1643"/>
      <c r="F285" s="46" t="str">
        <f>IF(COUNTIF(B281:C289,""),"",+ABS(D285-E284)/E284)</f>
        <v/>
      </c>
      <c r="G285" s="465" t="str">
        <f>IF(COUNTIF(B281:C289,""),"",IF($B$13="DR",IF(F285&lt;=0.06,"X",""),IF(F285&lt;=0.15,"X","")))</f>
        <v/>
      </c>
      <c r="H285" s="465" t="str">
        <f>IF(COUNTIF(B281:C289,""),"",IF($B$13="DR",IF(F285&gt;0.06,"X",""),IF(F285&gt;0.15,"X","")))</f>
        <v/>
      </c>
      <c r="I285" s="5">
        <f t="shared" si="30"/>
        <v>0</v>
      </c>
      <c r="J285" s="916"/>
      <c r="K285" s="916"/>
      <c r="L285" s="916" t="str">
        <f>B278</f>
        <v>cass#18</v>
      </c>
      <c r="M285" s="928">
        <f>E278</f>
        <v>0</v>
      </c>
      <c r="N285" s="927">
        <f>B285</f>
        <v>1600</v>
      </c>
      <c r="O285" s="927">
        <f>C285</f>
        <v>0</v>
      </c>
      <c r="P285" s="916"/>
      <c r="Q285" s="927">
        <f>D278</f>
        <v>71</v>
      </c>
      <c r="R285" s="916"/>
    </row>
    <row r="286" spans="1:18" ht="13.8" x14ac:dyDescent="0.3">
      <c r="A286" s="199">
        <v>6</v>
      </c>
      <c r="B286" s="196">
        <v>1300</v>
      </c>
      <c r="C286" s="188"/>
      <c r="D286" s="464" t="str">
        <f>IF(COUNTIF(B281:C289,""),"",B286/C286)</f>
        <v/>
      </c>
      <c r="E286" s="1644"/>
      <c r="F286" s="46" t="str">
        <f>IF(COUNTIF(B281:C289,""),"",+ABS(D286-E284)/E284)</f>
        <v/>
      </c>
      <c r="G286" s="465" t="str">
        <f>IF(COUNTIF(B281:C289,""),"",IF($B$13="DR",IF(F286&lt;=0.06,"X",""),IF(F286&lt;=0.15,"X","")))</f>
        <v/>
      </c>
      <c r="H286" s="465" t="str">
        <f>IF(COUNTIF(B281:C289,""),"",IF($B$13="DR",IF(F286&gt;0.06,"X",""),IF(F286&gt;0.15,"X","")))</f>
        <v/>
      </c>
      <c r="I286" s="5">
        <f t="shared" si="30"/>
        <v>0</v>
      </c>
      <c r="J286" s="916"/>
      <c r="K286" s="916"/>
      <c r="L286" s="916"/>
      <c r="M286" s="929"/>
      <c r="N286" s="916"/>
      <c r="O286" s="916"/>
      <c r="P286" s="916"/>
      <c r="Q286" s="916"/>
      <c r="R286" s="916"/>
    </row>
    <row r="287" spans="1:18" ht="13.8" x14ac:dyDescent="0.3">
      <c r="A287" s="200">
        <v>7</v>
      </c>
      <c r="B287" s="196">
        <v>1200</v>
      </c>
      <c r="C287" s="188"/>
      <c r="D287" s="464" t="str">
        <f>IF(COUNTIF(B281:C289,""),"",B287/C287)</f>
        <v/>
      </c>
      <c r="E287" s="1642" t="str">
        <f>IF(COUNTIF(B281:C289,""),"",AVERAGE(D287:D289))</f>
        <v/>
      </c>
      <c r="F287" s="46" t="str">
        <f>IF(COUNTIF(B281:C289,""),"",+ABS(D287-E287)/E287)</f>
        <v/>
      </c>
      <c r="G287" s="465" t="str">
        <f>IF(COUNTIF(B281:C289,""),"",IF($B$13="DR",IF(F287&lt;=0.06,"X",""),IF(F287&lt;=0.15,"X","")))</f>
        <v/>
      </c>
      <c r="H287" s="465" t="str">
        <f>IF(COUNTIF(B281:C289,""),"",IF($B$13="DR",IF(F287&gt;0.06,"X",""),IF(F287&gt;0.15,"X","")))</f>
        <v/>
      </c>
      <c r="I287" s="5">
        <f t="shared" si="30"/>
        <v>0</v>
      </c>
      <c r="J287" s="916"/>
      <c r="K287" s="916"/>
      <c r="L287" s="916"/>
      <c r="M287" s="929"/>
      <c r="N287" s="916"/>
      <c r="O287" s="916"/>
      <c r="P287" s="916"/>
      <c r="Q287" s="916"/>
      <c r="R287" s="916"/>
    </row>
    <row r="288" spans="1:18" ht="13.8" x14ac:dyDescent="0.3">
      <c r="A288" s="201">
        <v>8</v>
      </c>
      <c r="B288" s="196">
        <v>1350</v>
      </c>
      <c r="C288" s="188"/>
      <c r="D288" s="464" t="str">
        <f>IF(COUNTIF(B281:C289,""),"",B288/C288)</f>
        <v/>
      </c>
      <c r="E288" s="1643"/>
      <c r="F288" s="46" t="str">
        <f>IF(COUNTIF(B281:C289,""),"",+ABS(D288-E287)/E287)</f>
        <v/>
      </c>
      <c r="G288" s="465" t="str">
        <f>IF(COUNTIF(B281:C289,""),"",IF($B$13="DR",IF(F288&lt;=0.06,"X",""),IF(F288&lt;=0.15,"X","")))</f>
        <v/>
      </c>
      <c r="H288" s="465" t="str">
        <f>IF(COUNTIF(B281:C289,""),"",IF($B$13="DR",IF(F288&gt;0.06,"X",""),IF(F288&gt;0.15,"X","")))</f>
        <v/>
      </c>
      <c r="I288" s="5">
        <f t="shared" si="30"/>
        <v>0</v>
      </c>
      <c r="J288" s="916"/>
      <c r="K288" s="916"/>
      <c r="L288" s="916"/>
      <c r="M288" s="929"/>
      <c r="N288" s="916"/>
      <c r="O288" s="916"/>
      <c r="P288" s="916"/>
      <c r="Q288" s="916"/>
      <c r="R288" s="916"/>
    </row>
    <row r="289" spans="1:18" ht="13.8" x14ac:dyDescent="0.3">
      <c r="A289" s="180">
        <v>9</v>
      </c>
      <c r="B289" s="196">
        <v>1300</v>
      </c>
      <c r="C289" s="188"/>
      <c r="D289" s="464" t="str">
        <f>IF(COUNTIF(B281:C289,""),"",B289/C289)</f>
        <v/>
      </c>
      <c r="E289" s="1644"/>
      <c r="F289" s="46" t="str">
        <f>IF(COUNTIF(B281:C289,""),"",+ABS(D289-E287)/E287)</f>
        <v/>
      </c>
      <c r="G289" s="465" t="str">
        <f>IF(COUNTIF(B281:C289,""),"",IF($B$13="DR",IF(F289&lt;=0.06,"X",""),IF(F289&lt;=0.15,"X","")))</f>
        <v/>
      </c>
      <c r="H289" s="465" t="str">
        <f>IF(COUNTIF(B281:C289,""),"",IF($B$13="DR",IF(F289&gt;0.06,"X",""),IF(F289&gt;0.15,"X","")))</f>
        <v/>
      </c>
      <c r="I289" s="5">
        <f t="shared" si="30"/>
        <v>0</v>
      </c>
      <c r="J289" s="916"/>
      <c r="K289" s="916"/>
      <c r="L289" s="916"/>
      <c r="M289" s="929"/>
      <c r="N289" s="916"/>
      <c r="O289" s="916"/>
      <c r="P289" s="916"/>
      <c r="Q289" s="916"/>
      <c r="R289" s="916"/>
    </row>
    <row r="290" spans="1:18" ht="13.8" x14ac:dyDescent="0.3">
      <c r="B290" s="883"/>
      <c r="F290" s="877"/>
      <c r="J290" s="916"/>
      <c r="K290" s="916"/>
      <c r="L290" s="916"/>
      <c r="M290" s="929"/>
      <c r="N290" s="916"/>
      <c r="O290" s="916"/>
      <c r="P290" s="916"/>
      <c r="Q290" s="916"/>
      <c r="R290" s="916"/>
    </row>
    <row r="291" spans="1:18" ht="13.8" x14ac:dyDescent="0.3">
      <c r="A291" s="563" t="s">
        <v>805</v>
      </c>
      <c r="B291" s="192" t="s">
        <v>667</v>
      </c>
      <c r="C291" s="563" t="s">
        <v>585</v>
      </c>
      <c r="D291" s="192">
        <v>72</v>
      </c>
      <c r="E291" s="191" t="s">
        <v>142</v>
      </c>
      <c r="F291" s="878"/>
      <c r="G291" s="176"/>
      <c r="H291" s="176"/>
      <c r="J291" s="916"/>
      <c r="K291" s="916"/>
      <c r="L291" s="916"/>
      <c r="M291" s="929"/>
      <c r="N291" s="916"/>
      <c r="O291" s="916"/>
      <c r="P291" s="916"/>
      <c r="Q291" s="916"/>
      <c r="R291" s="916"/>
    </row>
    <row r="292" spans="1:18" ht="13.8" x14ac:dyDescent="0.3">
      <c r="A292" s="549" t="s">
        <v>144</v>
      </c>
      <c r="B292" s="457" t="s">
        <v>161</v>
      </c>
      <c r="C292" s="457" t="s">
        <v>145</v>
      </c>
      <c r="D292" s="548" t="s">
        <v>146</v>
      </c>
      <c r="E292" s="1640" t="s">
        <v>147</v>
      </c>
      <c r="F292" s="879" t="s">
        <v>148</v>
      </c>
      <c r="G292" s="1518" t="s">
        <v>15</v>
      </c>
      <c r="H292" s="1518"/>
      <c r="I292" s="495"/>
      <c r="J292" s="916"/>
      <c r="K292" s="916"/>
      <c r="L292" s="916"/>
      <c r="M292" s="929"/>
      <c r="N292" s="916"/>
      <c r="O292" s="916"/>
      <c r="P292" s="916"/>
      <c r="Q292" s="916"/>
      <c r="R292" s="916"/>
    </row>
    <row r="293" spans="1:18" ht="13.8" x14ac:dyDescent="0.3">
      <c r="A293" s="459" t="s">
        <v>149</v>
      </c>
      <c r="B293" s="460" t="s">
        <v>150</v>
      </c>
      <c r="C293" s="461" t="s">
        <v>156</v>
      </c>
      <c r="D293" s="462" t="s">
        <v>157</v>
      </c>
      <c r="E293" s="1641"/>
      <c r="F293" s="880" t="s">
        <v>152</v>
      </c>
      <c r="G293" s="534" t="s">
        <v>16</v>
      </c>
      <c r="H293" s="534" t="s">
        <v>17</v>
      </c>
      <c r="I293" s="495"/>
      <c r="J293" s="916"/>
      <c r="K293" s="916"/>
      <c r="L293" s="916"/>
      <c r="M293" s="929"/>
      <c r="N293" s="916"/>
      <c r="O293" s="916"/>
      <c r="P293" s="916"/>
      <c r="Q293" s="916"/>
      <c r="R293" s="916"/>
    </row>
    <row r="294" spans="1:18" ht="13.8" x14ac:dyDescent="0.3">
      <c r="A294" s="198">
        <v>1</v>
      </c>
      <c r="B294" s="193">
        <v>703</v>
      </c>
      <c r="C294" s="188">
        <v>11</v>
      </c>
      <c r="D294" s="464">
        <f>IF(COUNTIF(B294:C302,""),"",B294/C294)</f>
        <v>63.909090909090907</v>
      </c>
      <c r="E294" s="1642">
        <f>IF(COUNTIF(B294:C302,""),"",AVERAGE(D294:D296))</f>
        <v>75.090909090909079</v>
      </c>
      <c r="F294" s="46">
        <f>IF(COUNTIF(B294:C302,""),"",+ABS(D294-E294)/E294)</f>
        <v>0.14891041162227595</v>
      </c>
      <c r="G294" s="465" t="str">
        <f>IF(COUNTIF(B294:C302,""),"",IF($B$13="DR",IF(F294&lt;=0.06,"X",""),IF(F294&lt;=0.15,"X","")))</f>
        <v/>
      </c>
      <c r="H294" s="465" t="str">
        <f>IF(COUNTIF(B294:C302,""),"",IF($B$13="DR",IF(F294&gt;0.06,"X",""),IF(F294&gt;0.15,"X","")))</f>
        <v>X</v>
      </c>
      <c r="I294" s="5">
        <f t="shared" ref="I294:I302" si="31">COUNTIF(H294,"X")</f>
        <v>1</v>
      </c>
      <c r="J294" s="916"/>
      <c r="K294" s="916"/>
      <c r="L294" s="916"/>
      <c r="M294" s="929"/>
      <c r="N294" s="916"/>
      <c r="O294" s="916"/>
      <c r="P294" s="916"/>
      <c r="Q294" s="916"/>
      <c r="R294" s="916"/>
    </row>
    <row r="295" spans="1:18" ht="13.8" x14ac:dyDescent="0.3">
      <c r="A295" s="199">
        <v>2</v>
      </c>
      <c r="B295" s="193">
        <v>750</v>
      </c>
      <c r="C295" s="188">
        <v>10</v>
      </c>
      <c r="D295" s="464">
        <f>IF(COUNTIF(B294:C302,""),"",B295/C295)</f>
        <v>75</v>
      </c>
      <c r="E295" s="1643"/>
      <c r="F295" s="46">
        <f>IF(COUNTIF(B294:C302,""),"",+ABS(D295-E294)/E294)</f>
        <v>1.2106537530264798E-3</v>
      </c>
      <c r="G295" s="465" t="str">
        <f>IF(COUNTIF(B294:C302,""),"",IF($B$13="DR",IF(F295&lt;=0.06,"X",""),IF(F295&lt;=0.15,"X","")))</f>
        <v>X</v>
      </c>
      <c r="H295" s="465" t="str">
        <f>IF(COUNTIF(B294:C302,""),"",IF($B$13="DR",IF(F295&gt;0.06,"X",""),IF(F295&gt;0.15,"X","")))</f>
        <v/>
      </c>
      <c r="I295" s="5">
        <f t="shared" si="31"/>
        <v>0</v>
      </c>
      <c r="J295" s="916"/>
      <c r="K295" s="916"/>
      <c r="L295" s="916"/>
      <c r="M295" s="929"/>
      <c r="N295" s="916"/>
      <c r="O295" s="916"/>
      <c r="P295" s="916"/>
      <c r="Q295" s="916"/>
      <c r="R295" s="916"/>
    </row>
    <row r="296" spans="1:18" ht="13.8" x14ac:dyDescent="0.3">
      <c r="A296" s="199">
        <v>3</v>
      </c>
      <c r="B296" s="193">
        <v>950</v>
      </c>
      <c r="C296" s="188">
        <v>11</v>
      </c>
      <c r="D296" s="464">
        <f>IF(COUNTIF(B294:C302,""),"",B296/C296)</f>
        <v>86.36363636363636</v>
      </c>
      <c r="E296" s="1644"/>
      <c r="F296" s="46">
        <f>IF(COUNTIF(B294:C302,""),"",+ABS(D296-E294)/E294)</f>
        <v>0.15012106537530279</v>
      </c>
      <c r="G296" s="465" t="str">
        <f>IF(COUNTIF(B294:C302,""),"",IF($B$13="DR",IF(F296&lt;=0.06,"X",""),IF(F296&lt;=0.15,"X","")))</f>
        <v/>
      </c>
      <c r="H296" s="465" t="str">
        <f>IF(COUNTIF(B294:C302,""),"",IF($B$13="DR",IF(F296&gt;0.06,"X",""),IF(F296&gt;0.15,"X","")))</f>
        <v>X</v>
      </c>
      <c r="I296" s="5">
        <f t="shared" si="31"/>
        <v>1</v>
      </c>
      <c r="J296" s="916"/>
      <c r="K296" s="916"/>
      <c r="L296" s="916"/>
      <c r="M296" s="929"/>
      <c r="N296" s="916"/>
      <c r="O296" s="916"/>
      <c r="P296" s="916"/>
      <c r="Q296" s="916"/>
      <c r="R296" s="916"/>
    </row>
    <row r="297" spans="1:18" ht="13.8" x14ac:dyDescent="0.3">
      <c r="A297" s="199">
        <v>4</v>
      </c>
      <c r="B297" s="195">
        <v>1300</v>
      </c>
      <c r="C297" s="188">
        <v>10</v>
      </c>
      <c r="D297" s="464">
        <f>IF(COUNTIF(B294:C302,""),"",B297/C297)</f>
        <v>130</v>
      </c>
      <c r="E297" s="1642">
        <f>IF(COUNTIF(B294:C302,""),"",AVERAGE(D297:D299))</f>
        <v>135.15151515151516</v>
      </c>
      <c r="F297" s="46">
        <f>IF(COUNTIF(B294:C302,""),"",+ABS(D297-E297)/E297)</f>
        <v>3.8116591928251155E-2</v>
      </c>
      <c r="G297" s="465" t="str">
        <f>IF(COUNTIF(B294:C302,""),"",IF($B$13="DR",IF(F297&lt;=0.06,"X",""),IF(F297&lt;=0.15,"X","")))</f>
        <v>X</v>
      </c>
      <c r="H297" s="465" t="str">
        <f>IF(COUNTIF(B294:C302,""),"",IF($B$13="DR",IF(F297&gt;0.06,"X",""),IF(F297&gt;0.15,"X","")))</f>
        <v/>
      </c>
      <c r="I297" s="5">
        <f t="shared" si="31"/>
        <v>0</v>
      </c>
      <c r="J297" s="916"/>
      <c r="K297" s="916"/>
      <c r="L297" s="916"/>
      <c r="M297" s="929"/>
      <c r="N297" s="916"/>
      <c r="O297" s="916"/>
      <c r="P297" s="916"/>
      <c r="Q297" s="916"/>
      <c r="R297" s="916"/>
    </row>
    <row r="298" spans="1:18" ht="13.8" x14ac:dyDescent="0.3">
      <c r="A298" s="200">
        <v>5</v>
      </c>
      <c r="B298" s="196">
        <v>1600</v>
      </c>
      <c r="C298" s="188">
        <v>11</v>
      </c>
      <c r="D298" s="464">
        <f>IF(COUNTIF(B294:C302,""),"",B298/C298)</f>
        <v>145.45454545454547</v>
      </c>
      <c r="E298" s="1643"/>
      <c r="F298" s="46">
        <f>IF(COUNTIF(B294:C302,""),"",+ABS(D298-E297)/E297)</f>
        <v>7.623318385650231E-2</v>
      </c>
      <c r="G298" s="465" t="str">
        <f>IF(COUNTIF(B294:C302,""),"",IF($B$13="DR",IF(F298&lt;=0.06,"X",""),IF(F298&lt;=0.15,"X","")))</f>
        <v/>
      </c>
      <c r="H298" s="465" t="str">
        <f>IF(COUNTIF(B294:C302,""),"",IF($B$13="DR",IF(F298&gt;0.06,"X",""),IF(F298&gt;0.15,"X","")))</f>
        <v>X</v>
      </c>
      <c r="I298" s="5">
        <f t="shared" si="31"/>
        <v>1</v>
      </c>
      <c r="J298" s="916"/>
      <c r="K298" s="916"/>
      <c r="L298" s="916" t="str">
        <f>B291</f>
        <v>cass#19</v>
      </c>
      <c r="M298" s="928" t="str">
        <f>E291</f>
        <v>18x24</v>
      </c>
      <c r="N298" s="927">
        <f>B298</f>
        <v>1600</v>
      </c>
      <c r="O298" s="927">
        <f>C298</f>
        <v>11</v>
      </c>
      <c r="P298" s="916"/>
      <c r="Q298" s="927">
        <f>D291</f>
        <v>72</v>
      </c>
      <c r="R298" s="916"/>
    </row>
    <row r="299" spans="1:18" ht="13.8" x14ac:dyDescent="0.3">
      <c r="A299" s="199">
        <v>6</v>
      </c>
      <c r="B299" s="196">
        <v>1300</v>
      </c>
      <c r="C299" s="188">
        <v>10</v>
      </c>
      <c r="D299" s="464">
        <f>IF(COUNTIF(B294:C302,""),"",B299/C299)</f>
        <v>130</v>
      </c>
      <c r="E299" s="1644"/>
      <c r="F299" s="46">
        <f>IF(COUNTIF(B294:C302,""),"",+ABS(D299-E297)/E297)</f>
        <v>3.8116591928251155E-2</v>
      </c>
      <c r="G299" s="465" t="str">
        <f>IF(COUNTIF(B294:C302,""),"",IF($B$13="DR",IF(F299&lt;=0.06,"X",""),IF(F299&lt;=0.15,"X","")))</f>
        <v>X</v>
      </c>
      <c r="H299" s="465" t="str">
        <f>IF(COUNTIF(B294:C302,""),"",IF($B$13="DR",IF(F299&gt;0.06,"X",""),IF(F299&gt;0.15,"X","")))</f>
        <v/>
      </c>
      <c r="I299" s="5">
        <f t="shared" si="31"/>
        <v>0</v>
      </c>
      <c r="J299" s="916"/>
      <c r="K299" s="916"/>
      <c r="L299" s="916"/>
      <c r="M299" s="929"/>
      <c r="N299" s="916"/>
      <c r="O299" s="916"/>
      <c r="P299" s="916"/>
      <c r="Q299" s="916"/>
      <c r="R299" s="916"/>
    </row>
    <row r="300" spans="1:18" ht="13.8" x14ac:dyDescent="0.3">
      <c r="A300" s="200">
        <v>7</v>
      </c>
      <c r="B300" s="196">
        <v>900</v>
      </c>
      <c r="C300" s="188">
        <v>10</v>
      </c>
      <c r="D300" s="464">
        <f>IF(COUNTIF(B294:C302,""),"",B300/C300)</f>
        <v>90</v>
      </c>
      <c r="E300" s="1642">
        <f>IF(COUNTIF(B294:C302,""),"",AVERAGE(D300:D302))</f>
        <v>114.24242424242425</v>
      </c>
      <c r="F300" s="46">
        <f>IF(COUNTIF(B294:C302,""),"",+ABS(D300-E300)/E300)</f>
        <v>0.21220159151193638</v>
      </c>
      <c r="G300" s="465" t="str">
        <f>IF(COUNTIF(B294:C302,""),"",IF($B$13="DR",IF(F300&lt;=0.06,"X",""),IF(F300&lt;=0.15,"X","")))</f>
        <v/>
      </c>
      <c r="H300" s="465" t="str">
        <f>IF(COUNTIF(B294:C302,""),"",IF($B$13="DR",IF(F300&gt;0.06,"X",""),IF(F300&gt;0.15,"X","")))</f>
        <v>X</v>
      </c>
      <c r="I300" s="5">
        <f t="shared" si="31"/>
        <v>1</v>
      </c>
      <c r="J300" s="916"/>
      <c r="K300" s="916"/>
      <c r="L300" s="916"/>
      <c r="M300" s="929"/>
      <c r="N300" s="916"/>
      <c r="O300" s="916"/>
      <c r="P300" s="916"/>
      <c r="Q300" s="916"/>
      <c r="R300" s="916"/>
    </row>
    <row r="301" spans="1:18" ht="13.8" x14ac:dyDescent="0.3">
      <c r="A301" s="201">
        <v>8</v>
      </c>
      <c r="B301" s="196">
        <v>1350</v>
      </c>
      <c r="C301" s="188">
        <v>11</v>
      </c>
      <c r="D301" s="464">
        <f>IF(COUNTIF(B294:C302,""),"",B301/C301)</f>
        <v>122.72727272727273</v>
      </c>
      <c r="E301" s="1643"/>
      <c r="F301" s="46">
        <f>IF(COUNTIF(B294:C302,""),"",+ABS(D301-E300)/E300)</f>
        <v>7.4270557029177717E-2</v>
      </c>
      <c r="G301" s="465" t="str">
        <f>IF(COUNTIF(B294:C302,""),"",IF($B$13="DR",IF(F301&lt;=0.06,"X",""),IF(F301&lt;=0.15,"X","")))</f>
        <v/>
      </c>
      <c r="H301" s="465" t="str">
        <f>IF(COUNTIF(B294:C302,""),"",IF($B$13="DR",IF(F301&gt;0.06,"X",""),IF(F301&gt;0.15,"X","")))</f>
        <v>X</v>
      </c>
      <c r="I301" s="5">
        <f t="shared" si="31"/>
        <v>1</v>
      </c>
      <c r="J301" s="916"/>
      <c r="K301" s="916"/>
      <c r="L301" s="916"/>
      <c r="M301" s="929"/>
      <c r="N301" s="916"/>
      <c r="O301" s="916"/>
      <c r="P301" s="916"/>
      <c r="Q301" s="916"/>
      <c r="R301" s="916"/>
    </row>
    <row r="302" spans="1:18" ht="13.8" x14ac:dyDescent="0.3">
      <c r="A302" s="180">
        <v>9</v>
      </c>
      <c r="B302" s="196">
        <v>1300</v>
      </c>
      <c r="C302" s="188">
        <v>10</v>
      </c>
      <c r="D302" s="464">
        <f>IF(COUNTIF(B294:C302,""),"",B302/C302)</f>
        <v>130</v>
      </c>
      <c r="E302" s="1644"/>
      <c r="F302" s="46">
        <f>IF(COUNTIF(B294:C302,""),"",+ABS(D302-E300)/E300)</f>
        <v>0.13793103448275856</v>
      </c>
      <c r="G302" s="465" t="str">
        <f>IF(COUNTIF(B294:C302,""),"",IF($B$13="DR",IF(F302&lt;=0.06,"X",""),IF(F302&lt;=0.15,"X","")))</f>
        <v/>
      </c>
      <c r="H302" s="465" t="str">
        <f>IF(COUNTIF(B294:C302,""),"",IF($B$13="DR",IF(F302&gt;0.06,"X",""),IF(F302&gt;0.15,"X","")))</f>
        <v>X</v>
      </c>
      <c r="I302" s="5">
        <f t="shared" si="31"/>
        <v>1</v>
      </c>
      <c r="J302" s="916"/>
      <c r="K302" s="916"/>
      <c r="L302" s="916"/>
      <c r="M302" s="929"/>
      <c r="N302" s="916"/>
      <c r="O302" s="916"/>
      <c r="P302" s="916"/>
      <c r="Q302" s="916"/>
      <c r="R302" s="916"/>
    </row>
    <row r="303" spans="1:18" ht="13.8" x14ac:dyDescent="0.3">
      <c r="B303" s="604"/>
      <c r="C303" s="604"/>
      <c r="F303" s="877"/>
      <c r="J303" s="916"/>
      <c r="K303" s="916"/>
      <c r="L303" s="916"/>
      <c r="M303" s="929"/>
      <c r="N303" s="916"/>
      <c r="O303" s="916"/>
      <c r="P303" s="916"/>
      <c r="Q303" s="916"/>
      <c r="R303" s="916"/>
    </row>
    <row r="304" spans="1:18" ht="13.8" x14ac:dyDescent="0.3">
      <c r="A304" s="563" t="s">
        <v>805</v>
      </c>
      <c r="B304" s="192" t="s">
        <v>668</v>
      </c>
      <c r="C304" s="563" t="s">
        <v>585</v>
      </c>
      <c r="D304" s="192">
        <v>68</v>
      </c>
      <c r="E304" s="191"/>
      <c r="F304" s="878"/>
      <c r="G304" s="176"/>
      <c r="H304" s="176"/>
      <c r="J304" s="916"/>
      <c r="K304" s="916"/>
      <c r="L304" s="916"/>
      <c r="M304" s="929"/>
      <c r="N304" s="916"/>
      <c r="O304" s="916"/>
      <c r="P304" s="916"/>
      <c r="Q304" s="916"/>
      <c r="R304" s="916"/>
    </row>
    <row r="305" spans="1:18" ht="13.8" x14ac:dyDescent="0.3">
      <c r="A305" s="549" t="s">
        <v>144</v>
      </c>
      <c r="B305" s="457" t="s">
        <v>161</v>
      </c>
      <c r="C305" s="457" t="s">
        <v>145</v>
      </c>
      <c r="D305" s="548" t="s">
        <v>146</v>
      </c>
      <c r="E305" s="1640" t="s">
        <v>147</v>
      </c>
      <c r="F305" s="879" t="s">
        <v>148</v>
      </c>
      <c r="G305" s="1518" t="s">
        <v>15</v>
      </c>
      <c r="H305" s="1518"/>
      <c r="I305" s="495"/>
      <c r="J305" s="916"/>
      <c r="K305" s="916"/>
      <c r="L305" s="916"/>
      <c r="M305" s="929"/>
      <c r="N305" s="916"/>
      <c r="O305" s="916"/>
      <c r="P305" s="916"/>
      <c r="Q305" s="916"/>
      <c r="R305" s="916"/>
    </row>
    <row r="306" spans="1:18" ht="13.8" x14ac:dyDescent="0.3">
      <c r="A306" s="459" t="s">
        <v>149</v>
      </c>
      <c r="B306" s="460" t="s">
        <v>150</v>
      </c>
      <c r="C306" s="461" t="s">
        <v>156</v>
      </c>
      <c r="D306" s="462" t="s">
        <v>157</v>
      </c>
      <c r="E306" s="1641"/>
      <c r="F306" s="880" t="s">
        <v>152</v>
      </c>
      <c r="G306" s="534" t="s">
        <v>16</v>
      </c>
      <c r="H306" s="534" t="s">
        <v>17</v>
      </c>
      <c r="I306" s="495"/>
      <c r="J306" s="916"/>
      <c r="K306" s="916"/>
      <c r="L306" s="916"/>
      <c r="M306" s="929"/>
      <c r="N306" s="916"/>
      <c r="O306" s="916"/>
      <c r="P306" s="916"/>
      <c r="Q306" s="916"/>
      <c r="R306" s="916"/>
    </row>
    <row r="307" spans="1:18" ht="13.8" x14ac:dyDescent="0.3">
      <c r="A307" s="198">
        <v>1</v>
      </c>
      <c r="B307" s="193">
        <v>703</v>
      </c>
      <c r="C307" s="188"/>
      <c r="D307" s="464" t="str">
        <f>IF(COUNTIF(B307:C315,""),"",B307/C307)</f>
        <v/>
      </c>
      <c r="E307" s="1642" t="str">
        <f>IF(COUNTIF(B307:C315,""),"",AVERAGE(D307:D309))</f>
        <v/>
      </c>
      <c r="F307" s="46" t="str">
        <f>IF(COUNTIF(B307:C315,""),"",+ABS(D307-E307)/E307)</f>
        <v/>
      </c>
      <c r="G307" s="465" t="str">
        <f>IF(COUNTIF(B307:C315,""),"",IF($B$13="DR",IF(F307&lt;=0.06,"X",""),IF(F307&lt;=0.15,"X","")))</f>
        <v/>
      </c>
      <c r="H307" s="465" t="str">
        <f>IF(COUNTIF(B307:C315,""),"",IF($B$13="DR",IF(F307&gt;0.06,"X",""),IF(F307&gt;0.15,"X","")))</f>
        <v/>
      </c>
      <c r="I307" s="5">
        <f t="shared" ref="I307:I315" si="32">COUNTIF(H307,"X")</f>
        <v>0</v>
      </c>
      <c r="J307" s="916"/>
      <c r="K307" s="916"/>
      <c r="L307" s="916"/>
      <c r="M307" s="929"/>
      <c r="N307" s="916"/>
      <c r="O307" s="916"/>
      <c r="P307" s="916"/>
      <c r="Q307" s="916"/>
      <c r="R307" s="916"/>
    </row>
    <row r="308" spans="1:18" ht="13.8" x14ac:dyDescent="0.3">
      <c r="A308" s="199">
        <v>2</v>
      </c>
      <c r="B308" s="193">
        <v>750</v>
      </c>
      <c r="C308" s="188"/>
      <c r="D308" s="464" t="str">
        <f>IF(COUNTIF(B307:C315,""),"",B308/C308)</f>
        <v/>
      </c>
      <c r="E308" s="1643"/>
      <c r="F308" s="46" t="str">
        <f>IF(COUNTIF(B307:C315,""),"",+ABS(D308-E307)/E307)</f>
        <v/>
      </c>
      <c r="G308" s="465" t="str">
        <f>IF(COUNTIF(B307:C315,""),"",IF($B$13="DR",IF(F308&lt;=0.06,"X",""),IF(F308&lt;=0.15,"X","")))</f>
        <v/>
      </c>
      <c r="H308" s="465" t="str">
        <f>IF(COUNTIF(B307:C315,""),"",IF($B$13="DR",IF(F308&gt;0.06,"X",""),IF(F308&gt;0.15,"X","")))</f>
        <v/>
      </c>
      <c r="I308" s="5">
        <f t="shared" si="32"/>
        <v>0</v>
      </c>
      <c r="J308" s="916"/>
      <c r="K308" s="916"/>
      <c r="L308" s="916"/>
      <c r="M308" s="929"/>
      <c r="N308" s="916"/>
      <c r="O308" s="916"/>
      <c r="P308" s="916"/>
      <c r="Q308" s="916"/>
      <c r="R308" s="916"/>
    </row>
    <row r="309" spans="1:18" ht="13.8" x14ac:dyDescent="0.3">
      <c r="A309" s="199">
        <v>3</v>
      </c>
      <c r="B309" s="193">
        <v>950</v>
      </c>
      <c r="C309" s="188"/>
      <c r="D309" s="464" t="str">
        <f>IF(COUNTIF(B307:C315,""),"",B309/C309)</f>
        <v/>
      </c>
      <c r="E309" s="1644"/>
      <c r="F309" s="46" t="str">
        <f>IF(COUNTIF(B307:C315,""),"",+ABS(D309-E307)/E307)</f>
        <v/>
      </c>
      <c r="G309" s="465" t="str">
        <f>IF(COUNTIF(B307:C315,""),"",IF($B$13="DR",IF(F309&lt;=0.06,"X",""),IF(F309&lt;=0.15,"X","")))</f>
        <v/>
      </c>
      <c r="H309" s="465" t="str">
        <f>IF(COUNTIF(B307:C315,""),"",IF($B$13="DR",IF(F309&gt;0.06,"X",""),IF(F309&gt;0.15,"X","")))</f>
        <v/>
      </c>
      <c r="I309" s="5">
        <f t="shared" si="32"/>
        <v>0</v>
      </c>
      <c r="J309" s="916"/>
      <c r="K309" s="916"/>
      <c r="L309" s="916"/>
      <c r="M309" s="929"/>
      <c r="N309" s="916"/>
      <c r="O309" s="916"/>
      <c r="P309" s="916"/>
      <c r="Q309" s="916"/>
      <c r="R309" s="916"/>
    </row>
    <row r="310" spans="1:18" ht="13.8" x14ac:dyDescent="0.3">
      <c r="A310" s="199">
        <v>4</v>
      </c>
      <c r="B310" s="195">
        <v>1300</v>
      </c>
      <c r="C310" s="188"/>
      <c r="D310" s="464" t="str">
        <f>IF(COUNTIF(B307:C315,""),"",B310/C310)</f>
        <v/>
      </c>
      <c r="E310" s="1642" t="str">
        <f>IF(COUNTIF(B307:C315,""),"",AVERAGE(D310:D312))</f>
        <v/>
      </c>
      <c r="F310" s="46" t="str">
        <f>IF(COUNTIF(B307:C315,""),"",+ABS(D310-E310)/E310)</f>
        <v/>
      </c>
      <c r="G310" s="465" t="str">
        <f>IF(COUNTIF(B307:C315,""),"",IF($B$13="DR",IF(F310&lt;=0.06,"X",""),IF(F310&lt;=0.15,"X","")))</f>
        <v/>
      </c>
      <c r="H310" s="465" t="str">
        <f>IF(COUNTIF(B307:C315,""),"",IF($B$13="DR",IF(F310&gt;0.06,"X",""),IF(F310&gt;0.15,"X","")))</f>
        <v/>
      </c>
      <c r="I310" s="5">
        <f t="shared" si="32"/>
        <v>0</v>
      </c>
      <c r="J310" s="916"/>
      <c r="K310" s="916"/>
      <c r="L310" s="916"/>
      <c r="M310" s="929"/>
      <c r="N310" s="916"/>
      <c r="O310" s="916"/>
      <c r="P310" s="916"/>
      <c r="Q310" s="916"/>
      <c r="R310" s="916"/>
    </row>
    <row r="311" spans="1:18" ht="13.8" x14ac:dyDescent="0.3">
      <c r="A311" s="200">
        <v>5</v>
      </c>
      <c r="B311" s="196">
        <v>1600</v>
      </c>
      <c r="C311" s="188"/>
      <c r="D311" s="464" t="str">
        <f>IF(COUNTIF(B307:C315,""),"",B311/C311)</f>
        <v/>
      </c>
      <c r="E311" s="1643"/>
      <c r="F311" s="46" t="str">
        <f>IF(COUNTIF(B307:C315,""),"",+ABS(D311-E310)/E310)</f>
        <v/>
      </c>
      <c r="G311" s="465" t="str">
        <f>IF(COUNTIF(B307:C315,""),"",IF($B$13="DR",IF(F311&lt;=0.06,"X",""),IF(F311&lt;=0.15,"X","")))</f>
        <v/>
      </c>
      <c r="H311" s="465" t="str">
        <f>IF(COUNTIF(B307:C315,""),"",IF($B$13="DR",IF(F311&gt;0.06,"X",""),IF(F311&gt;0.15,"X","")))</f>
        <v/>
      </c>
      <c r="I311" s="5">
        <f t="shared" si="32"/>
        <v>0</v>
      </c>
      <c r="J311" s="916"/>
      <c r="K311" s="916"/>
      <c r="L311" s="916" t="str">
        <f>B304</f>
        <v>cass#20</v>
      </c>
      <c r="M311" s="928">
        <f>E304</f>
        <v>0</v>
      </c>
      <c r="N311" s="927">
        <f>B311</f>
        <v>1600</v>
      </c>
      <c r="O311" s="927">
        <f>C311</f>
        <v>0</v>
      </c>
      <c r="P311" s="916"/>
      <c r="Q311" s="927">
        <f>D304</f>
        <v>68</v>
      </c>
      <c r="R311" s="916"/>
    </row>
    <row r="312" spans="1:18" ht="13.8" x14ac:dyDescent="0.3">
      <c r="A312" s="199">
        <v>6</v>
      </c>
      <c r="B312" s="196">
        <v>1300</v>
      </c>
      <c r="C312" s="188"/>
      <c r="D312" s="464" t="str">
        <f>IF(COUNTIF(B307:C315,""),"",B312/C312)</f>
        <v/>
      </c>
      <c r="E312" s="1644"/>
      <c r="F312" s="46" t="str">
        <f>IF(COUNTIF(B307:C315,""),"",+ABS(D312-E310)/E310)</f>
        <v/>
      </c>
      <c r="G312" s="465" t="str">
        <f>IF(COUNTIF(B307:C315,""),"",IF($B$13="DR",IF(F312&lt;=0.06,"X",""),IF(F312&lt;=0.15,"X","")))</f>
        <v/>
      </c>
      <c r="H312" s="465" t="str">
        <f>IF(COUNTIF(B307:C315,""),"",IF($B$13="DR",IF(F312&gt;0.06,"X",""),IF(F312&gt;0.15,"X","")))</f>
        <v/>
      </c>
      <c r="I312" s="5">
        <f t="shared" si="32"/>
        <v>0</v>
      </c>
      <c r="J312" s="916"/>
      <c r="K312" s="916"/>
      <c r="L312" s="916"/>
      <c r="M312" s="929"/>
      <c r="N312" s="916"/>
      <c r="O312" s="916"/>
      <c r="P312" s="916"/>
      <c r="Q312" s="916"/>
      <c r="R312" s="916"/>
    </row>
    <row r="313" spans="1:18" ht="13.8" x14ac:dyDescent="0.3">
      <c r="A313" s="200">
        <v>7</v>
      </c>
      <c r="B313" s="196">
        <v>900</v>
      </c>
      <c r="C313" s="188"/>
      <c r="D313" s="464" t="str">
        <f>IF(COUNTIF(B307:C315,""),"",B313/C313)</f>
        <v/>
      </c>
      <c r="E313" s="1642" t="str">
        <f>IF(COUNTIF(B307:C315,""),"",AVERAGE(D313:D315))</f>
        <v/>
      </c>
      <c r="F313" s="46" t="str">
        <f>IF(COUNTIF(B307:C315,""),"",+ABS(D313-E313)/E313)</f>
        <v/>
      </c>
      <c r="G313" s="465" t="str">
        <f>IF(COUNTIF(B307:C315,""),"",IF($B$13="DR",IF(F313&lt;=0.06,"X",""),IF(F313&lt;=0.15,"X","")))</f>
        <v/>
      </c>
      <c r="H313" s="465" t="str">
        <f>IF(COUNTIF(B307:C315,""),"",IF($B$13="DR",IF(F313&gt;0.06,"X",""),IF(F313&gt;0.15,"X","")))</f>
        <v/>
      </c>
      <c r="I313" s="5">
        <f t="shared" si="32"/>
        <v>0</v>
      </c>
      <c r="J313" s="916"/>
      <c r="K313" s="916"/>
      <c r="L313" s="916"/>
      <c r="M313" s="929"/>
      <c r="N313" s="916"/>
      <c r="O313" s="916"/>
      <c r="P313" s="916"/>
      <c r="Q313" s="916"/>
      <c r="R313" s="916"/>
    </row>
    <row r="314" spans="1:18" ht="13.8" x14ac:dyDescent="0.3">
      <c r="A314" s="201">
        <v>8</v>
      </c>
      <c r="B314" s="196">
        <v>1350</v>
      </c>
      <c r="C314" s="188"/>
      <c r="D314" s="464" t="str">
        <f>IF(COUNTIF(B307:C315,""),"",B314/C314)</f>
        <v/>
      </c>
      <c r="E314" s="1643"/>
      <c r="F314" s="46" t="str">
        <f>IF(COUNTIF(B307:C315,""),"",+ABS(D314-E313)/E313)</f>
        <v/>
      </c>
      <c r="G314" s="465" t="str">
        <f>IF(COUNTIF(B307:C315,""),"",IF($B$13="DR",IF(F314&lt;=0.06,"X",""),IF(F314&lt;=0.15,"X","")))</f>
        <v/>
      </c>
      <c r="H314" s="465" t="str">
        <f>IF(COUNTIF(B307:C315,""),"",IF($B$13="DR",IF(F314&gt;0.06,"X",""),IF(F314&gt;0.15,"X","")))</f>
        <v/>
      </c>
      <c r="I314" s="5">
        <f t="shared" si="32"/>
        <v>0</v>
      </c>
      <c r="J314" s="916"/>
      <c r="K314" s="916"/>
      <c r="L314" s="916"/>
      <c r="M314" s="929"/>
      <c r="N314" s="916"/>
      <c r="O314" s="916"/>
      <c r="P314" s="916"/>
      <c r="Q314" s="916"/>
      <c r="R314" s="916"/>
    </row>
    <row r="315" spans="1:18" ht="13.8" x14ac:dyDescent="0.3">
      <c r="A315" s="180">
        <v>9</v>
      </c>
      <c r="B315" s="196">
        <v>1300</v>
      </c>
      <c r="C315" s="188"/>
      <c r="D315" s="464" t="str">
        <f>IF(COUNTIF(B307:C315,""),"",B315/C315)</f>
        <v/>
      </c>
      <c r="E315" s="1644"/>
      <c r="F315" s="46" t="str">
        <f>IF(COUNTIF(B307:C315,""),"",+ABS(D315-E313)/E313)</f>
        <v/>
      </c>
      <c r="G315" s="465" t="str">
        <f>IF(COUNTIF(B307:C315,""),"",IF($B$13="DR",IF(F315&lt;=0.06,"X",""),IF(F315&lt;=0.15,"X","")))</f>
        <v/>
      </c>
      <c r="H315" s="465" t="str">
        <f>IF(COUNTIF(B307:C315,""),"",IF($B$13="DR",IF(F315&gt;0.06,"X",""),IF(F315&gt;0.15,"X","")))</f>
        <v/>
      </c>
      <c r="I315" s="5">
        <f t="shared" si="32"/>
        <v>0</v>
      </c>
      <c r="J315" s="916"/>
      <c r="K315" s="916"/>
      <c r="L315" s="916"/>
      <c r="M315" s="929"/>
      <c r="N315" s="916"/>
      <c r="O315" s="916"/>
      <c r="P315" s="916"/>
      <c r="Q315" s="916"/>
      <c r="R315" s="916"/>
    </row>
    <row r="316" spans="1:18" ht="13.8" x14ac:dyDescent="0.3">
      <c r="F316" s="877"/>
      <c r="J316" s="916"/>
      <c r="K316" s="916"/>
      <c r="L316" s="916"/>
      <c r="M316" s="929"/>
      <c r="N316" s="916"/>
      <c r="O316" s="916"/>
      <c r="P316" s="916"/>
      <c r="Q316" s="916"/>
      <c r="R316" s="916"/>
    </row>
    <row r="317" spans="1:18" ht="13.8" x14ac:dyDescent="0.3">
      <c r="A317" s="563" t="s">
        <v>805</v>
      </c>
      <c r="B317" s="192" t="s">
        <v>669</v>
      </c>
      <c r="C317" s="563" t="s">
        <v>585</v>
      </c>
      <c r="D317" s="192">
        <v>75</v>
      </c>
      <c r="E317" s="191"/>
      <c r="F317" s="878"/>
      <c r="G317" s="176"/>
      <c r="H317" s="176"/>
      <c r="J317" s="916"/>
      <c r="K317" s="916"/>
      <c r="L317" s="916"/>
      <c r="M317" s="929"/>
      <c r="N317" s="916"/>
      <c r="O317" s="916"/>
      <c r="P317" s="916"/>
      <c r="Q317" s="916"/>
      <c r="R317" s="916"/>
    </row>
    <row r="318" spans="1:18" ht="13.8" x14ac:dyDescent="0.3">
      <c r="A318" s="549" t="s">
        <v>144</v>
      </c>
      <c r="B318" s="457" t="s">
        <v>161</v>
      </c>
      <c r="C318" s="457" t="s">
        <v>145</v>
      </c>
      <c r="D318" s="548" t="s">
        <v>146</v>
      </c>
      <c r="E318" s="1640" t="s">
        <v>147</v>
      </c>
      <c r="F318" s="879" t="s">
        <v>148</v>
      </c>
      <c r="G318" s="1518" t="s">
        <v>15</v>
      </c>
      <c r="H318" s="1518"/>
      <c r="I318" s="495"/>
      <c r="J318" s="916"/>
      <c r="K318" s="916"/>
      <c r="L318" s="916"/>
      <c r="M318" s="929"/>
      <c r="N318" s="916"/>
      <c r="O318" s="916"/>
      <c r="P318" s="916"/>
      <c r="Q318" s="916"/>
      <c r="R318" s="916"/>
    </row>
    <row r="319" spans="1:18" ht="13.8" x14ac:dyDescent="0.3">
      <c r="A319" s="459" t="s">
        <v>149</v>
      </c>
      <c r="B319" s="460" t="s">
        <v>150</v>
      </c>
      <c r="C319" s="461" t="s">
        <v>156</v>
      </c>
      <c r="D319" s="462" t="s">
        <v>157</v>
      </c>
      <c r="E319" s="1641"/>
      <c r="F319" s="880" t="s">
        <v>152</v>
      </c>
      <c r="G319" s="534" t="s">
        <v>16</v>
      </c>
      <c r="H319" s="534" t="s">
        <v>17</v>
      </c>
      <c r="I319" s="495"/>
      <c r="J319" s="916"/>
      <c r="K319" s="916"/>
      <c r="L319" s="916"/>
      <c r="M319" s="929"/>
      <c r="N319" s="916"/>
      <c r="O319" s="916"/>
      <c r="P319" s="916"/>
      <c r="Q319" s="916"/>
      <c r="R319" s="916"/>
    </row>
    <row r="320" spans="1:18" ht="13.8" x14ac:dyDescent="0.3">
      <c r="A320" s="198">
        <v>1</v>
      </c>
      <c r="B320" s="193"/>
      <c r="C320" s="188"/>
      <c r="D320" s="464" t="str">
        <f>IF(COUNTIF(B320:C328,""),"",B320/C320)</f>
        <v/>
      </c>
      <c r="E320" s="1642" t="str">
        <f>IF(COUNTIF(B320:C328,""),"",AVERAGE(D320:D322))</f>
        <v/>
      </c>
      <c r="F320" s="46" t="str">
        <f>IF(COUNTIF(B320:C328,""),"",+ABS(D320-E320)/E320)</f>
        <v/>
      </c>
      <c r="G320" s="465" t="str">
        <f>IF(COUNTIF(B320:C328,""),"",IF($B$13="DR",IF(F320&lt;=0.06,"X",""),IF(F320&lt;=0.15,"X","")))</f>
        <v/>
      </c>
      <c r="H320" s="465" t="str">
        <f>IF(COUNTIF(B320:C328,""),"",IF($B$13="DR",IF(F320&gt;0.06,"X",""),IF(F320&gt;0.15,"X","")))</f>
        <v/>
      </c>
      <c r="I320" s="5">
        <f t="shared" ref="I320:I328" si="33">COUNTIF(H320,"X")</f>
        <v>0</v>
      </c>
      <c r="J320" s="916"/>
      <c r="K320" s="916"/>
      <c r="L320" s="916"/>
      <c r="M320" s="929"/>
      <c r="N320" s="916"/>
      <c r="O320" s="916"/>
      <c r="P320" s="916"/>
      <c r="Q320" s="916"/>
      <c r="R320" s="916"/>
    </row>
    <row r="321" spans="1:26" ht="13.8" x14ac:dyDescent="0.3">
      <c r="A321" s="199">
        <v>2</v>
      </c>
      <c r="B321" s="193"/>
      <c r="C321" s="188"/>
      <c r="D321" s="464" t="str">
        <f>IF(COUNTIF(B320:C328,""),"",B321/C321)</f>
        <v/>
      </c>
      <c r="E321" s="1643"/>
      <c r="F321" s="46" t="str">
        <f>IF(COUNTIF(B320:C328,""),"",+ABS(D321-E320)/E320)</f>
        <v/>
      </c>
      <c r="G321" s="465" t="str">
        <f>IF(COUNTIF(B320:C328,""),"",IF($B$13="DR",IF(F321&lt;=0.06,"X",""),IF(F321&lt;=0.15,"X","")))</f>
        <v/>
      </c>
      <c r="H321" s="465" t="str">
        <f>IF(COUNTIF(B320:C328,""),"",IF($B$13="DR",IF(F321&gt;0.06,"X",""),IF(F321&gt;0.15,"X","")))</f>
        <v/>
      </c>
      <c r="I321" s="5">
        <f t="shared" si="33"/>
        <v>0</v>
      </c>
      <c r="J321" s="916"/>
      <c r="K321" s="916"/>
      <c r="L321" s="916"/>
      <c r="M321" s="929"/>
      <c r="N321" s="916"/>
      <c r="O321" s="916"/>
      <c r="P321" s="916"/>
      <c r="Q321" s="916"/>
      <c r="R321" s="916"/>
    </row>
    <row r="322" spans="1:26" ht="13.8" x14ac:dyDescent="0.3">
      <c r="A322" s="199">
        <v>3</v>
      </c>
      <c r="B322" s="193"/>
      <c r="C322" s="188"/>
      <c r="D322" s="464" t="str">
        <f>IF(COUNTIF(B320:C328,""),"",B322/C322)</f>
        <v/>
      </c>
      <c r="E322" s="1644"/>
      <c r="F322" s="46" t="str">
        <f>IF(COUNTIF(B320:C328,""),"",+ABS(D322-E320)/E320)</f>
        <v/>
      </c>
      <c r="G322" s="465" t="str">
        <f>IF(COUNTIF(B320:C328,""),"",IF($B$13="DR",IF(F322&lt;=0.06,"X",""),IF(F322&lt;=0.15,"X","")))</f>
        <v/>
      </c>
      <c r="H322" s="465" t="str">
        <f>IF(COUNTIF(B320:C328,""),"",IF($B$13="DR",IF(F322&gt;0.06,"X",""),IF(F322&gt;0.15,"X","")))</f>
        <v/>
      </c>
      <c r="I322" s="5">
        <f t="shared" si="33"/>
        <v>0</v>
      </c>
      <c r="J322" s="916"/>
      <c r="K322" s="916"/>
      <c r="L322" s="916"/>
      <c r="M322" s="929"/>
      <c r="N322" s="916"/>
      <c r="O322" s="916"/>
      <c r="P322" s="916"/>
      <c r="Q322" s="916"/>
      <c r="R322" s="916"/>
    </row>
    <row r="323" spans="1:26" ht="13.8" x14ac:dyDescent="0.3">
      <c r="A323" s="199">
        <v>4</v>
      </c>
      <c r="B323" s="195"/>
      <c r="C323" s="188"/>
      <c r="D323" s="464" t="str">
        <f>IF(COUNTIF(B320:C328,""),"",B323/C323)</f>
        <v/>
      </c>
      <c r="E323" s="1642" t="str">
        <f>IF(COUNTIF(B320:C328,""),"",AVERAGE(D323:D325))</f>
        <v/>
      </c>
      <c r="F323" s="46" t="str">
        <f>IF(COUNTIF(B320:C328,""),"",+ABS(D323-E323)/E323)</f>
        <v/>
      </c>
      <c r="G323" s="465" t="str">
        <f>IF(COUNTIF(B320:C328,""),"",IF($B$13="DR",IF(F323&lt;=0.06,"X",""),IF(F323&lt;=0.15,"X","")))</f>
        <v/>
      </c>
      <c r="H323" s="465" t="str">
        <f>IF(COUNTIF(B320:C328,""),"",IF($B$13="DR",IF(F323&gt;0.06,"X",""),IF(F323&gt;0.15,"X","")))</f>
        <v/>
      </c>
      <c r="I323" s="5">
        <f t="shared" si="33"/>
        <v>0</v>
      </c>
      <c r="J323" s="916"/>
      <c r="K323" s="916"/>
      <c r="L323" s="916"/>
      <c r="M323" s="929"/>
      <c r="N323" s="916"/>
      <c r="O323" s="916"/>
      <c r="P323" s="916"/>
      <c r="Q323" s="916"/>
      <c r="R323" s="916"/>
    </row>
    <row r="324" spans="1:26" ht="13.8" x14ac:dyDescent="0.3">
      <c r="A324" s="200">
        <v>5</v>
      </c>
      <c r="B324" s="196"/>
      <c r="C324" s="188"/>
      <c r="D324" s="464" t="str">
        <f>IF(COUNTIF(B320:C328,""),"",B324/C324)</f>
        <v/>
      </c>
      <c r="E324" s="1643"/>
      <c r="F324" s="46" t="str">
        <f>IF(COUNTIF(B320:C328,""),"",+ABS(D324-E323)/E323)</f>
        <v/>
      </c>
      <c r="G324" s="465" t="str">
        <f>IF(COUNTIF(B320:C328,""),"",IF($B$13="DR",IF(F324&lt;=0.06,"X",""),IF(F324&lt;=0.15,"X","")))</f>
        <v/>
      </c>
      <c r="H324" s="465" t="str">
        <f>IF(COUNTIF(B320:C328,""),"",IF($B$13="DR",IF(F324&gt;0.06,"X",""),IF(F324&gt;0.15,"X","")))</f>
        <v/>
      </c>
      <c r="I324" s="5">
        <f t="shared" si="33"/>
        <v>0</v>
      </c>
      <c r="J324" s="916"/>
      <c r="K324" s="916"/>
      <c r="L324" s="916" t="str">
        <f>B317</f>
        <v>cass#21</v>
      </c>
      <c r="M324" s="928">
        <f>E317</f>
        <v>0</v>
      </c>
      <c r="N324" s="927">
        <f>B324</f>
        <v>0</v>
      </c>
      <c r="O324" s="927">
        <f>C324</f>
        <v>0</v>
      </c>
      <c r="P324" s="916"/>
      <c r="Q324" s="927">
        <f>D317</f>
        <v>75</v>
      </c>
      <c r="R324" s="916"/>
    </row>
    <row r="325" spans="1:26" ht="13.8" x14ac:dyDescent="0.3">
      <c r="A325" s="199">
        <v>6</v>
      </c>
      <c r="B325" s="196"/>
      <c r="C325" s="188"/>
      <c r="D325" s="464" t="str">
        <f>IF(COUNTIF(B320:C328,""),"",B325/C325)</f>
        <v/>
      </c>
      <c r="E325" s="1644"/>
      <c r="F325" s="46" t="str">
        <f>IF(COUNTIF(B320:C328,""),"",+ABS(D325-E323)/E323)</f>
        <v/>
      </c>
      <c r="G325" s="465" t="str">
        <f>IF(COUNTIF(B320:C328,""),"",IF($B$13="DR",IF(F325&lt;=0.06,"X",""),IF(F325&lt;=0.15,"X","")))</f>
        <v/>
      </c>
      <c r="H325" s="465" t="str">
        <f>IF(COUNTIF(B320:C328,""),"",IF($B$13="DR",IF(F325&gt;0.06,"X",""),IF(F325&gt;0.15,"X","")))</f>
        <v/>
      </c>
      <c r="I325" s="5">
        <f t="shared" si="33"/>
        <v>0</v>
      </c>
      <c r="J325" s="916"/>
      <c r="K325" s="916"/>
      <c r="L325" s="916"/>
      <c r="M325" s="929"/>
      <c r="N325" s="916"/>
      <c r="O325" s="916"/>
      <c r="P325" s="916"/>
      <c r="Q325" s="916"/>
      <c r="R325" s="916"/>
    </row>
    <row r="326" spans="1:26" ht="13.8" x14ac:dyDescent="0.3">
      <c r="A326" s="200">
        <v>7</v>
      </c>
      <c r="B326" s="196"/>
      <c r="C326" s="188"/>
      <c r="D326" s="464" t="str">
        <f>IF(COUNTIF(B320:C328,""),"",B326/C326)</f>
        <v/>
      </c>
      <c r="E326" s="1642" t="str">
        <f>IF(COUNTIF(B320:C328,""),"",AVERAGE(D326:D328))</f>
        <v/>
      </c>
      <c r="F326" s="46" t="str">
        <f>IF(COUNTIF(B320:C328,""),"",+ABS(D326-E326)/E326)</f>
        <v/>
      </c>
      <c r="G326" s="465" t="str">
        <f>IF(COUNTIF(B320:C328,""),"",IF($B$13="DR",IF(F326&lt;=0.06,"X",""),IF(F326&lt;=0.15,"X","")))</f>
        <v/>
      </c>
      <c r="H326" s="465" t="str">
        <f>IF(COUNTIF(B320:C328,""),"",IF($B$13="DR",IF(F326&gt;0.06,"X",""),IF(F326&gt;0.15,"X","")))</f>
        <v/>
      </c>
      <c r="I326" s="5">
        <f t="shared" si="33"/>
        <v>0</v>
      </c>
      <c r="J326" s="916"/>
      <c r="K326" s="916"/>
      <c r="L326" s="916"/>
      <c r="M326" s="929"/>
      <c r="N326" s="916"/>
      <c r="O326" s="916"/>
      <c r="P326" s="916"/>
      <c r="Q326" s="916"/>
      <c r="R326" s="916"/>
    </row>
    <row r="327" spans="1:26" ht="13.8" x14ac:dyDescent="0.3">
      <c r="A327" s="201">
        <v>8</v>
      </c>
      <c r="B327" s="196"/>
      <c r="C327" s="188"/>
      <c r="D327" s="464" t="str">
        <f>IF(COUNTIF(B320:C328,""),"",B327/C327)</f>
        <v/>
      </c>
      <c r="E327" s="1643"/>
      <c r="F327" s="46" t="str">
        <f>IF(COUNTIF(B320:C328,""),"",+ABS(D327-E326)/E326)</f>
        <v/>
      </c>
      <c r="G327" s="465" t="str">
        <f>IF(COUNTIF(B320:C328,""),"",IF($B$13="DR",IF(F327&lt;=0.06,"X",""),IF(F327&lt;=0.15,"X","")))</f>
        <v/>
      </c>
      <c r="H327" s="465" t="str">
        <f>IF(COUNTIF(B320:C328,""),"",IF($B$13="DR",IF(F327&gt;0.06,"X",""),IF(F327&gt;0.15,"X","")))</f>
        <v/>
      </c>
      <c r="I327" s="5">
        <f t="shared" si="33"/>
        <v>0</v>
      </c>
      <c r="J327" s="916"/>
      <c r="K327" s="916"/>
      <c r="L327" s="916"/>
      <c r="M327" s="929"/>
      <c r="N327" s="916"/>
      <c r="O327" s="916"/>
      <c r="P327" s="916"/>
      <c r="Q327" s="916"/>
      <c r="R327" s="916"/>
    </row>
    <row r="328" spans="1:26" x14ac:dyDescent="0.25">
      <c r="A328" s="180">
        <v>9</v>
      </c>
      <c r="B328" s="196"/>
      <c r="C328" s="188"/>
      <c r="D328" s="464" t="str">
        <f>IF(COUNTIF(B320:C328,""),"",B328/C328)</f>
        <v/>
      </c>
      <c r="E328" s="1644"/>
      <c r="F328" s="46" t="str">
        <f>IF(COUNTIF(B320:C328,""),"",+ABS(D328-E326)/E326)</f>
        <v/>
      </c>
      <c r="G328" s="465" t="str">
        <f>IF(COUNTIF(B320:C328,""),"",IF($B$13="DR",IF(F328&lt;=0.06,"X",""),IF(F328&lt;=0.15,"X","")))</f>
        <v/>
      </c>
      <c r="H328" s="465" t="str">
        <f>IF(COUNTIF(B320:C328,""),"",IF($B$13="DR",IF(F328&gt;0.06,"X",""),IF(F328&gt;0.15,"X","")))</f>
        <v/>
      </c>
      <c r="I328" s="5">
        <f t="shared" si="33"/>
        <v>0</v>
      </c>
      <c r="M328" s="494"/>
    </row>
    <row r="332" spans="1:26" x14ac:dyDescent="0.25">
      <c r="T332" s="496"/>
      <c r="U332" s="497"/>
      <c r="V332" s="496"/>
      <c r="W332" s="496"/>
      <c r="X332" s="496"/>
      <c r="Y332" s="496"/>
      <c r="Z332" s="496"/>
    </row>
    <row r="334" spans="1:26" x14ac:dyDescent="0.25">
      <c r="L334" s="496"/>
      <c r="M334" s="497"/>
      <c r="N334" s="496"/>
      <c r="O334" s="496"/>
      <c r="P334" s="496"/>
      <c r="Q334" s="496"/>
      <c r="R334" s="496"/>
    </row>
    <row r="335" spans="1:26" x14ac:dyDescent="0.25">
      <c r="L335" s="496"/>
      <c r="M335" s="497"/>
      <c r="N335" s="496"/>
      <c r="O335" s="496"/>
      <c r="P335" s="496"/>
      <c r="Q335" s="496"/>
      <c r="R335" s="496"/>
    </row>
    <row r="336" spans="1:26" x14ac:dyDescent="0.25">
      <c r="L336" s="496"/>
      <c r="M336" s="497"/>
      <c r="N336" s="496"/>
      <c r="O336" s="496"/>
      <c r="P336" s="496"/>
      <c r="Q336" s="496"/>
      <c r="R336" s="496"/>
    </row>
    <row r="337" spans="12:18" x14ac:dyDescent="0.25">
      <c r="L337" s="496"/>
      <c r="M337" s="497"/>
      <c r="N337" s="496"/>
      <c r="O337" s="496"/>
      <c r="P337" s="496"/>
      <c r="Q337" s="496"/>
      <c r="R337" s="496"/>
    </row>
    <row r="338" spans="12:18" x14ac:dyDescent="0.25">
      <c r="L338" s="496"/>
      <c r="M338" s="496"/>
      <c r="N338" s="496"/>
      <c r="O338" s="496"/>
      <c r="P338" s="496"/>
      <c r="Q338" s="496"/>
      <c r="R338" s="496"/>
    </row>
    <row r="339" spans="12:18" x14ac:dyDescent="0.25">
      <c r="L339" s="496"/>
      <c r="M339" s="497"/>
      <c r="N339" s="496"/>
      <c r="O339" s="496"/>
      <c r="P339" s="496"/>
      <c r="Q339" s="496"/>
      <c r="R339" s="496"/>
    </row>
    <row r="340" spans="12:18" x14ac:dyDescent="0.25">
      <c r="L340" s="496"/>
      <c r="M340" s="497"/>
      <c r="N340" s="496"/>
      <c r="O340" s="496"/>
      <c r="P340" s="496"/>
      <c r="Q340" s="496"/>
      <c r="R340" s="496"/>
    </row>
    <row r="341" spans="12:18" x14ac:dyDescent="0.25">
      <c r="L341" s="496"/>
      <c r="M341" s="497"/>
      <c r="N341" s="496"/>
      <c r="O341" s="496"/>
      <c r="P341" s="496"/>
      <c r="Q341" s="496"/>
      <c r="R341" s="496"/>
    </row>
    <row r="342" spans="12:18" x14ac:dyDescent="0.25">
      <c r="L342" s="496"/>
      <c r="M342" s="497"/>
      <c r="N342" s="496"/>
      <c r="O342" s="496"/>
      <c r="P342" s="496"/>
      <c r="Q342" s="496"/>
      <c r="R342" s="496"/>
    </row>
    <row r="343" spans="12:18" x14ac:dyDescent="0.25">
      <c r="L343" s="496"/>
      <c r="M343" s="497"/>
      <c r="N343" s="496"/>
      <c r="O343" s="496"/>
      <c r="P343" s="496"/>
      <c r="Q343" s="496"/>
      <c r="R343" s="496"/>
    </row>
    <row r="344" spans="12:18" x14ac:dyDescent="0.25">
      <c r="L344" s="496"/>
      <c r="M344" s="497"/>
      <c r="N344" s="496"/>
      <c r="O344" s="496"/>
      <c r="P344" s="496"/>
      <c r="Q344" s="496"/>
      <c r="R344" s="496"/>
    </row>
    <row r="345" spans="12:18" x14ac:dyDescent="0.25">
      <c r="L345" s="496"/>
      <c r="M345" s="497"/>
      <c r="N345" s="496"/>
      <c r="O345" s="496"/>
      <c r="P345" s="496"/>
      <c r="Q345" s="496"/>
      <c r="R345" s="496"/>
    </row>
    <row r="346" spans="12:18" x14ac:dyDescent="0.25">
      <c r="L346" s="496"/>
      <c r="M346" s="497"/>
      <c r="N346" s="496"/>
      <c r="O346" s="496"/>
      <c r="P346" s="496"/>
      <c r="Q346" s="496"/>
      <c r="R346" s="496"/>
    </row>
    <row r="347" spans="12:18" x14ac:dyDescent="0.25">
      <c r="L347" s="496"/>
      <c r="M347" s="497"/>
      <c r="N347" s="496"/>
      <c r="O347" s="496"/>
      <c r="P347" s="496"/>
      <c r="Q347" s="496"/>
      <c r="R347" s="496"/>
    </row>
    <row r="348" spans="12:18" x14ac:dyDescent="0.25">
      <c r="L348" s="496"/>
      <c r="M348" s="497"/>
      <c r="N348" s="496"/>
      <c r="O348" s="496"/>
      <c r="P348" s="496"/>
      <c r="Q348" s="496"/>
      <c r="R348" s="496"/>
    </row>
    <row r="349" spans="12:18" x14ac:dyDescent="0.25">
      <c r="L349" s="496"/>
      <c r="M349" s="497"/>
      <c r="N349" s="496"/>
      <c r="O349" s="496"/>
      <c r="P349" s="496"/>
      <c r="Q349" s="496"/>
      <c r="R349" s="496"/>
    </row>
    <row r="350" spans="12:18" x14ac:dyDescent="0.25">
      <c r="L350" s="496"/>
      <c r="M350" s="497"/>
      <c r="N350" s="496"/>
      <c r="O350" s="496"/>
      <c r="P350" s="496"/>
      <c r="Q350" s="496"/>
      <c r="R350" s="496"/>
    </row>
    <row r="351" spans="12:18" x14ac:dyDescent="0.25">
      <c r="L351" s="496"/>
      <c r="M351" s="496"/>
      <c r="N351" s="496"/>
      <c r="O351" s="496"/>
      <c r="P351" s="496"/>
      <c r="Q351" s="496"/>
      <c r="R351" s="496"/>
    </row>
    <row r="352" spans="12:18" x14ac:dyDescent="0.25">
      <c r="L352" s="496"/>
      <c r="M352" s="497"/>
      <c r="N352" s="496"/>
      <c r="O352" s="496"/>
      <c r="P352" s="496"/>
      <c r="Q352" s="496"/>
      <c r="R352" s="496"/>
    </row>
    <row r="353" spans="12:18" x14ac:dyDescent="0.25">
      <c r="L353" s="496"/>
      <c r="M353" s="496"/>
      <c r="N353" s="496"/>
      <c r="O353" s="496"/>
      <c r="P353" s="496"/>
      <c r="Q353" s="496"/>
      <c r="R353" s="496"/>
    </row>
    <row r="354" spans="12:18" x14ac:dyDescent="0.25">
      <c r="L354" s="496"/>
      <c r="M354" s="496"/>
      <c r="N354" s="496"/>
      <c r="O354" s="496"/>
      <c r="P354" s="496"/>
      <c r="Q354" s="496"/>
      <c r="R354" s="496"/>
    </row>
    <row r="355" spans="12:18" x14ac:dyDescent="0.25">
      <c r="L355" s="496"/>
      <c r="M355" s="496"/>
      <c r="N355" s="496"/>
      <c r="O355" s="496"/>
      <c r="P355" s="496"/>
      <c r="Q355" s="496"/>
      <c r="R355" s="496"/>
    </row>
    <row r="356" spans="12:18" x14ac:dyDescent="0.25">
      <c r="L356" s="496"/>
      <c r="M356" s="496"/>
      <c r="N356" s="496"/>
      <c r="O356" s="496"/>
      <c r="P356" s="496"/>
      <c r="Q356" s="496"/>
      <c r="R356" s="496"/>
    </row>
    <row r="357" spans="12:18" x14ac:dyDescent="0.25">
      <c r="L357" s="496"/>
      <c r="M357" s="496"/>
      <c r="N357" s="496"/>
      <c r="O357" s="496"/>
      <c r="P357" s="496"/>
      <c r="Q357" s="496"/>
      <c r="R357" s="496"/>
    </row>
    <row r="358" spans="12:18" x14ac:dyDescent="0.25">
      <c r="L358" s="496"/>
      <c r="M358" s="496"/>
      <c r="N358" s="496"/>
      <c r="O358" s="496"/>
      <c r="P358" s="496"/>
      <c r="Q358" s="496"/>
      <c r="R358" s="496"/>
    </row>
    <row r="359" spans="12:18" x14ac:dyDescent="0.25">
      <c r="L359" s="496"/>
      <c r="M359" s="496"/>
      <c r="N359" s="496"/>
      <c r="O359" s="496"/>
      <c r="P359" s="496"/>
      <c r="Q359" s="496"/>
      <c r="R359" s="496"/>
    </row>
    <row r="360" spans="12:18" x14ac:dyDescent="0.25">
      <c r="L360" s="496"/>
      <c r="M360" s="496"/>
      <c r="N360" s="496"/>
      <c r="O360" s="496"/>
      <c r="P360" s="496"/>
      <c r="Q360" s="496"/>
      <c r="R360" s="496"/>
    </row>
    <row r="361" spans="12:18" x14ac:dyDescent="0.25">
      <c r="L361" s="496"/>
      <c r="M361" s="496"/>
      <c r="N361" s="496"/>
      <c r="O361" s="496"/>
      <c r="P361" s="496"/>
      <c r="Q361" s="496"/>
      <c r="R361" s="496"/>
    </row>
    <row r="362" spans="12:18" x14ac:dyDescent="0.25">
      <c r="L362" s="496"/>
      <c r="M362" s="496"/>
      <c r="N362" s="496"/>
      <c r="O362" s="496"/>
      <c r="P362" s="496"/>
      <c r="Q362" s="496"/>
      <c r="R362" s="496"/>
    </row>
    <row r="363" spans="12:18" x14ac:dyDescent="0.25">
      <c r="L363" s="496"/>
      <c r="M363" s="496"/>
      <c r="N363" s="496"/>
      <c r="O363" s="496"/>
      <c r="P363" s="496"/>
      <c r="Q363" s="496"/>
      <c r="R363" s="496"/>
    </row>
    <row r="364" spans="12:18" x14ac:dyDescent="0.25">
      <c r="L364" s="496"/>
      <c r="M364" s="496"/>
      <c r="N364" s="496"/>
      <c r="O364" s="496"/>
      <c r="P364" s="496"/>
      <c r="Q364" s="496"/>
      <c r="R364" s="496"/>
    </row>
    <row r="365" spans="12:18" x14ac:dyDescent="0.25">
      <c r="L365" s="496"/>
      <c r="M365" s="496"/>
      <c r="N365" s="496"/>
      <c r="O365" s="496"/>
      <c r="P365" s="496"/>
      <c r="Q365" s="496"/>
      <c r="R365" s="496"/>
    </row>
    <row r="366" spans="12:18" x14ac:dyDescent="0.25">
      <c r="L366" s="496"/>
      <c r="M366" s="496"/>
      <c r="N366" s="496"/>
      <c r="O366" s="496"/>
      <c r="P366" s="496"/>
      <c r="Q366" s="496"/>
      <c r="R366" s="496"/>
    </row>
    <row r="367" spans="12:18" x14ac:dyDescent="0.25">
      <c r="L367" s="496"/>
      <c r="M367" s="496"/>
      <c r="N367" s="496"/>
      <c r="O367" s="496"/>
      <c r="P367" s="496"/>
      <c r="Q367" s="496"/>
      <c r="R367" s="496"/>
    </row>
    <row r="368" spans="12:18" x14ac:dyDescent="0.25">
      <c r="L368" s="496"/>
      <c r="M368" s="496"/>
      <c r="N368" s="496"/>
      <c r="O368" s="496"/>
      <c r="P368" s="496"/>
      <c r="Q368" s="496"/>
      <c r="R368" s="496"/>
    </row>
    <row r="369" spans="12:18" x14ac:dyDescent="0.25">
      <c r="L369" s="496"/>
      <c r="M369" s="496"/>
      <c r="N369" s="496"/>
      <c r="O369" s="496"/>
      <c r="P369" s="496"/>
      <c r="Q369" s="496"/>
      <c r="R369" s="496"/>
    </row>
    <row r="370" spans="12:18" x14ac:dyDescent="0.25">
      <c r="L370" s="496"/>
      <c r="M370" s="496"/>
      <c r="N370" s="496"/>
      <c r="O370" s="496"/>
      <c r="P370" s="496"/>
      <c r="Q370" s="496"/>
      <c r="R370" s="496"/>
    </row>
    <row r="371" spans="12:18" x14ac:dyDescent="0.25">
      <c r="L371" s="496"/>
      <c r="M371" s="496"/>
      <c r="N371" s="496"/>
      <c r="O371" s="496"/>
      <c r="P371" s="496"/>
      <c r="Q371" s="496"/>
      <c r="R371" s="496"/>
    </row>
    <row r="372" spans="12:18" x14ac:dyDescent="0.25">
      <c r="L372" s="496"/>
      <c r="M372" s="496"/>
      <c r="N372" s="496"/>
      <c r="O372" s="496"/>
      <c r="P372" s="496"/>
      <c r="Q372" s="496"/>
      <c r="R372" s="496"/>
    </row>
    <row r="373" spans="12:18" x14ac:dyDescent="0.25">
      <c r="L373" s="496"/>
      <c r="M373" s="496"/>
      <c r="N373" s="496"/>
      <c r="O373" s="496"/>
      <c r="P373" s="496"/>
      <c r="Q373" s="496"/>
      <c r="R373" s="496"/>
    </row>
    <row r="374" spans="12:18" x14ac:dyDescent="0.25">
      <c r="L374" s="496"/>
      <c r="M374" s="496"/>
      <c r="N374" s="496"/>
      <c r="O374" s="496"/>
      <c r="P374" s="496"/>
      <c r="Q374" s="496"/>
      <c r="R374" s="496"/>
    </row>
    <row r="375" spans="12:18" x14ac:dyDescent="0.25">
      <c r="L375" s="496"/>
      <c r="M375" s="496"/>
      <c r="N375" s="496"/>
      <c r="O375" s="496"/>
      <c r="P375" s="496"/>
      <c r="Q375" s="496"/>
      <c r="R375" s="496"/>
    </row>
    <row r="376" spans="12:18" x14ac:dyDescent="0.25">
      <c r="L376" s="496"/>
      <c r="M376" s="496"/>
      <c r="N376" s="496"/>
      <c r="O376" s="496"/>
      <c r="P376" s="496"/>
      <c r="Q376" s="496"/>
      <c r="R376" s="496"/>
    </row>
    <row r="377" spans="12:18" x14ac:dyDescent="0.25">
      <c r="L377" s="496"/>
      <c r="M377" s="496"/>
      <c r="N377" s="496"/>
      <c r="O377" s="496"/>
      <c r="P377" s="496"/>
      <c r="Q377" s="496"/>
      <c r="R377" s="496"/>
    </row>
    <row r="378" spans="12:18" x14ac:dyDescent="0.25">
      <c r="L378" s="496"/>
      <c r="M378" s="496"/>
      <c r="N378" s="496"/>
      <c r="O378" s="496"/>
      <c r="P378" s="496"/>
      <c r="Q378" s="496"/>
      <c r="R378" s="496"/>
    </row>
    <row r="379" spans="12:18" x14ac:dyDescent="0.25">
      <c r="L379" s="496"/>
      <c r="M379" s="496"/>
      <c r="N379" s="496"/>
      <c r="O379" s="496"/>
      <c r="P379" s="496"/>
      <c r="Q379" s="496"/>
      <c r="R379" s="496"/>
    </row>
    <row r="380" spans="12:18" x14ac:dyDescent="0.25">
      <c r="L380" s="496"/>
      <c r="M380" s="496"/>
      <c r="N380" s="496"/>
      <c r="O380" s="496"/>
      <c r="P380" s="496"/>
      <c r="Q380" s="496"/>
      <c r="R380" s="496"/>
    </row>
    <row r="381" spans="12:18" x14ac:dyDescent="0.25">
      <c r="L381" s="496"/>
      <c r="M381" s="496"/>
      <c r="N381" s="496"/>
      <c r="O381" s="496"/>
      <c r="P381" s="496"/>
      <c r="Q381" s="496"/>
      <c r="R381" s="496"/>
    </row>
    <row r="382" spans="12:18" x14ac:dyDescent="0.25">
      <c r="L382" s="496"/>
      <c r="M382" s="496"/>
      <c r="N382" s="496"/>
      <c r="O382" s="496"/>
      <c r="P382" s="496"/>
      <c r="Q382" s="496"/>
      <c r="R382" s="496"/>
    </row>
    <row r="383" spans="12:18" x14ac:dyDescent="0.25">
      <c r="L383" s="496"/>
      <c r="M383" s="496"/>
      <c r="N383" s="496"/>
      <c r="O383" s="496"/>
      <c r="P383" s="496"/>
      <c r="Q383" s="496"/>
      <c r="R383" s="496"/>
    </row>
    <row r="384" spans="12:18" x14ac:dyDescent="0.25">
      <c r="L384" s="496"/>
      <c r="M384" s="496"/>
      <c r="N384" s="496"/>
      <c r="O384" s="496"/>
      <c r="P384" s="496"/>
      <c r="Q384" s="496"/>
      <c r="R384" s="496"/>
    </row>
    <row r="385" spans="12:18" x14ac:dyDescent="0.25">
      <c r="L385" s="496"/>
      <c r="M385" s="496"/>
      <c r="N385" s="496"/>
      <c r="O385" s="496"/>
      <c r="P385" s="496"/>
      <c r="Q385" s="496"/>
      <c r="R385" s="496"/>
    </row>
    <row r="386" spans="12:18" x14ac:dyDescent="0.25">
      <c r="L386" s="496"/>
      <c r="M386" s="496"/>
      <c r="N386" s="496"/>
      <c r="O386" s="496"/>
      <c r="P386" s="496"/>
      <c r="Q386" s="496"/>
      <c r="R386" s="496"/>
    </row>
    <row r="387" spans="12:18" x14ac:dyDescent="0.25">
      <c r="L387" s="496"/>
      <c r="M387" s="496"/>
      <c r="N387" s="496"/>
      <c r="O387" s="496"/>
      <c r="P387" s="496"/>
      <c r="Q387" s="496"/>
      <c r="R387" s="496"/>
    </row>
    <row r="388" spans="12:18" x14ac:dyDescent="0.25">
      <c r="L388" s="496"/>
      <c r="M388" s="496"/>
      <c r="N388" s="496"/>
      <c r="O388" s="496"/>
      <c r="P388" s="496"/>
      <c r="Q388" s="496"/>
      <c r="R388" s="496"/>
    </row>
    <row r="389" spans="12:18" x14ac:dyDescent="0.25">
      <c r="L389" s="496"/>
      <c r="M389" s="496"/>
      <c r="N389" s="496"/>
      <c r="O389" s="496"/>
      <c r="P389" s="496"/>
      <c r="Q389" s="496"/>
      <c r="R389" s="496"/>
    </row>
    <row r="390" spans="12:18" x14ac:dyDescent="0.25">
      <c r="L390" s="496"/>
      <c r="M390" s="496"/>
      <c r="N390" s="496"/>
      <c r="O390" s="496"/>
      <c r="P390" s="496"/>
      <c r="Q390" s="496"/>
      <c r="R390" s="496"/>
    </row>
    <row r="391" spans="12:18" x14ac:dyDescent="0.25">
      <c r="L391" s="496"/>
      <c r="M391" s="496"/>
      <c r="N391" s="496"/>
      <c r="O391" s="496"/>
      <c r="P391" s="496"/>
      <c r="Q391" s="496"/>
      <c r="R391" s="496"/>
    </row>
    <row r="392" spans="12:18" x14ac:dyDescent="0.25">
      <c r="L392" s="496"/>
      <c r="M392" s="496"/>
      <c r="N392" s="496"/>
      <c r="O392" s="496"/>
      <c r="P392" s="496"/>
      <c r="Q392" s="496"/>
      <c r="R392" s="496"/>
    </row>
    <row r="393" spans="12:18" x14ac:dyDescent="0.25">
      <c r="L393" s="496"/>
      <c r="M393" s="496"/>
      <c r="N393" s="496"/>
      <c r="O393" s="496"/>
      <c r="P393" s="496"/>
      <c r="Q393" s="496"/>
      <c r="R393" s="496"/>
    </row>
    <row r="394" spans="12:18" x14ac:dyDescent="0.25">
      <c r="L394" s="496"/>
      <c r="M394" s="496"/>
      <c r="N394" s="496"/>
      <c r="O394" s="496"/>
      <c r="P394" s="496"/>
      <c r="Q394" s="496"/>
      <c r="R394" s="496"/>
    </row>
    <row r="395" spans="12:18" x14ac:dyDescent="0.25">
      <c r="L395" s="496"/>
      <c r="M395" s="496"/>
      <c r="N395" s="496"/>
      <c r="O395" s="496"/>
      <c r="P395" s="496"/>
      <c r="Q395" s="496"/>
      <c r="R395" s="496"/>
    </row>
    <row r="396" spans="12:18" x14ac:dyDescent="0.25">
      <c r="L396" s="496"/>
      <c r="M396" s="496"/>
      <c r="N396" s="496"/>
      <c r="O396" s="496"/>
      <c r="P396" s="496"/>
      <c r="Q396" s="496"/>
      <c r="R396" s="496"/>
    </row>
    <row r="397" spans="12:18" x14ac:dyDescent="0.25">
      <c r="L397" s="496"/>
      <c r="M397" s="496"/>
      <c r="N397" s="496"/>
      <c r="O397" s="496"/>
      <c r="P397" s="496"/>
      <c r="Q397" s="496"/>
      <c r="R397" s="496"/>
    </row>
    <row r="398" spans="12:18" x14ac:dyDescent="0.25">
      <c r="L398" s="496"/>
      <c r="M398" s="496"/>
      <c r="N398" s="496"/>
      <c r="O398" s="496"/>
      <c r="P398" s="496"/>
      <c r="Q398" s="496"/>
      <c r="R398" s="496"/>
    </row>
    <row r="399" spans="12:18" x14ac:dyDescent="0.25">
      <c r="L399" s="496"/>
      <c r="M399" s="496"/>
      <c r="N399" s="496"/>
      <c r="O399" s="496"/>
      <c r="P399" s="496"/>
      <c r="Q399" s="496"/>
      <c r="R399" s="496"/>
    </row>
    <row r="400" spans="12:18" x14ac:dyDescent="0.25">
      <c r="L400" s="496"/>
      <c r="M400" s="496"/>
      <c r="N400" s="496"/>
      <c r="O400" s="496"/>
      <c r="P400" s="496"/>
      <c r="Q400" s="496"/>
      <c r="R400" s="496"/>
    </row>
    <row r="401" spans="12:18" x14ac:dyDescent="0.25">
      <c r="L401" s="496"/>
      <c r="M401" s="496"/>
      <c r="N401" s="496"/>
      <c r="O401" s="496"/>
      <c r="P401" s="496"/>
      <c r="Q401" s="496"/>
      <c r="R401" s="496"/>
    </row>
    <row r="402" spans="12:18" x14ac:dyDescent="0.25">
      <c r="L402" s="496"/>
      <c r="M402" s="496"/>
      <c r="N402" s="496"/>
      <c r="O402" s="496"/>
      <c r="P402" s="496"/>
      <c r="Q402" s="496"/>
      <c r="R402" s="496"/>
    </row>
    <row r="403" spans="12:18" x14ac:dyDescent="0.25">
      <c r="L403" s="496"/>
      <c r="M403" s="496"/>
      <c r="N403" s="496"/>
      <c r="O403" s="496"/>
      <c r="P403" s="496"/>
      <c r="Q403" s="496"/>
      <c r="R403" s="496"/>
    </row>
    <row r="404" spans="12:18" x14ac:dyDescent="0.25">
      <c r="L404" s="496"/>
      <c r="M404" s="496"/>
      <c r="N404" s="496"/>
      <c r="O404" s="496"/>
      <c r="P404" s="496"/>
      <c r="Q404" s="496"/>
      <c r="R404" s="496"/>
    </row>
    <row r="405" spans="12:18" x14ac:dyDescent="0.25">
      <c r="L405" s="496"/>
      <c r="M405" s="496"/>
      <c r="N405" s="496"/>
      <c r="O405" s="496"/>
      <c r="P405" s="496"/>
      <c r="Q405" s="496"/>
      <c r="R405" s="496"/>
    </row>
    <row r="406" spans="12:18" x14ac:dyDescent="0.25">
      <c r="L406" s="496"/>
      <c r="M406" s="496"/>
      <c r="N406" s="496"/>
      <c r="O406" s="496"/>
      <c r="P406" s="496"/>
      <c r="Q406" s="496"/>
      <c r="R406" s="496"/>
    </row>
    <row r="407" spans="12:18" x14ac:dyDescent="0.25">
      <c r="L407" s="496"/>
      <c r="M407" s="496"/>
      <c r="N407" s="496"/>
      <c r="O407" s="496"/>
      <c r="P407" s="496"/>
      <c r="Q407" s="496"/>
      <c r="R407" s="496"/>
    </row>
    <row r="408" spans="12:18" x14ac:dyDescent="0.25">
      <c r="L408" s="496"/>
      <c r="M408" s="496"/>
      <c r="N408" s="496"/>
      <c r="O408" s="496"/>
      <c r="P408" s="496"/>
      <c r="Q408" s="496"/>
      <c r="R408" s="496"/>
    </row>
    <row r="409" spans="12:18" x14ac:dyDescent="0.25">
      <c r="L409" s="496"/>
      <c r="M409" s="496"/>
      <c r="N409" s="496"/>
      <c r="O409" s="496"/>
      <c r="P409" s="496"/>
      <c r="Q409" s="496"/>
      <c r="R409" s="496"/>
    </row>
    <row r="410" spans="12:18" x14ac:dyDescent="0.25">
      <c r="L410" s="496"/>
      <c r="M410" s="496"/>
      <c r="N410" s="496"/>
      <c r="O410" s="496"/>
      <c r="P410" s="496"/>
      <c r="Q410" s="496"/>
      <c r="R410" s="496"/>
    </row>
    <row r="411" spans="12:18" x14ac:dyDescent="0.25">
      <c r="L411" s="496"/>
      <c r="M411" s="496"/>
      <c r="N411" s="496"/>
      <c r="O411" s="496"/>
      <c r="P411" s="496"/>
      <c r="Q411" s="496"/>
      <c r="R411" s="496"/>
    </row>
    <row r="412" spans="12:18" x14ac:dyDescent="0.25">
      <c r="L412" s="496"/>
      <c r="M412" s="496"/>
      <c r="N412" s="496"/>
      <c r="O412" s="496"/>
      <c r="P412" s="496"/>
      <c r="Q412" s="496"/>
      <c r="R412" s="496"/>
    </row>
    <row r="413" spans="12:18" x14ac:dyDescent="0.25">
      <c r="L413" s="496"/>
      <c r="M413" s="496"/>
      <c r="N413" s="496"/>
      <c r="O413" s="496"/>
      <c r="P413" s="496"/>
      <c r="Q413" s="496"/>
      <c r="R413" s="496"/>
    </row>
    <row r="414" spans="12:18" x14ac:dyDescent="0.25">
      <c r="L414" s="496"/>
      <c r="M414" s="496"/>
      <c r="N414" s="496"/>
      <c r="O414" s="496"/>
      <c r="P414" s="496"/>
      <c r="Q414" s="496"/>
      <c r="R414" s="496"/>
    </row>
    <row r="415" spans="12:18" x14ac:dyDescent="0.25">
      <c r="L415" s="496"/>
      <c r="M415" s="496"/>
      <c r="N415" s="496"/>
      <c r="O415" s="496"/>
      <c r="P415" s="496"/>
      <c r="Q415" s="496"/>
      <c r="R415" s="496"/>
    </row>
    <row r="416" spans="12:18" x14ac:dyDescent="0.25">
      <c r="L416" s="496"/>
      <c r="M416" s="496"/>
      <c r="N416" s="496"/>
      <c r="O416" s="496"/>
      <c r="P416" s="496"/>
      <c r="Q416" s="496"/>
      <c r="R416" s="496"/>
    </row>
    <row r="417" spans="12:18" x14ac:dyDescent="0.25">
      <c r="L417" s="496"/>
      <c r="M417" s="496"/>
      <c r="N417" s="496"/>
      <c r="O417" s="496"/>
      <c r="P417" s="496"/>
      <c r="Q417" s="496"/>
      <c r="R417" s="496"/>
    </row>
    <row r="418" spans="12:18" x14ac:dyDescent="0.25">
      <c r="L418" s="496"/>
      <c r="M418" s="496"/>
      <c r="N418" s="496"/>
      <c r="O418" s="496"/>
      <c r="P418" s="496"/>
      <c r="Q418" s="496"/>
      <c r="R418" s="496"/>
    </row>
    <row r="419" spans="12:18" x14ac:dyDescent="0.25">
      <c r="L419" s="496"/>
      <c r="M419" s="496"/>
      <c r="N419" s="496"/>
      <c r="O419" s="496"/>
      <c r="P419" s="496"/>
      <c r="Q419" s="496"/>
      <c r="R419" s="496"/>
    </row>
    <row r="420" spans="12:18" x14ac:dyDescent="0.25">
      <c r="L420" s="496"/>
      <c r="M420" s="496"/>
      <c r="N420" s="496"/>
      <c r="O420" s="496"/>
      <c r="P420" s="496"/>
      <c r="Q420" s="496"/>
      <c r="R420" s="496"/>
    </row>
    <row r="421" spans="12:18" x14ac:dyDescent="0.25">
      <c r="L421" s="496"/>
      <c r="M421" s="496"/>
      <c r="N421" s="496"/>
      <c r="O421" s="496"/>
      <c r="P421" s="496"/>
      <c r="Q421" s="496"/>
      <c r="R421" s="496"/>
    </row>
    <row r="422" spans="12:18" x14ac:dyDescent="0.25">
      <c r="L422" s="496"/>
      <c r="M422" s="496"/>
      <c r="N422" s="496"/>
      <c r="O422" s="496"/>
      <c r="P422" s="496"/>
      <c r="Q422" s="496"/>
      <c r="R422" s="496"/>
    </row>
    <row r="423" spans="12:18" x14ac:dyDescent="0.25">
      <c r="L423" s="496"/>
      <c r="M423" s="496"/>
      <c r="N423" s="496"/>
      <c r="O423" s="496"/>
      <c r="P423" s="496"/>
      <c r="Q423" s="496"/>
      <c r="R423" s="496"/>
    </row>
    <row r="424" spans="12:18" x14ac:dyDescent="0.25">
      <c r="L424" s="496"/>
      <c r="M424" s="496"/>
      <c r="N424" s="496"/>
      <c r="O424" s="496"/>
      <c r="P424" s="496"/>
      <c r="Q424" s="496"/>
      <c r="R424" s="496"/>
    </row>
    <row r="425" spans="12:18" x14ac:dyDescent="0.25">
      <c r="L425" s="496"/>
      <c r="M425" s="496"/>
      <c r="N425" s="496"/>
      <c r="O425" s="496"/>
      <c r="P425" s="496"/>
      <c r="Q425" s="496"/>
      <c r="R425" s="496"/>
    </row>
    <row r="426" spans="12:18" x14ac:dyDescent="0.25">
      <c r="L426" s="496"/>
      <c r="M426" s="496"/>
      <c r="N426" s="496"/>
      <c r="O426" s="496"/>
      <c r="P426" s="496"/>
      <c r="Q426" s="496"/>
      <c r="R426" s="496"/>
    </row>
    <row r="427" spans="12:18" x14ac:dyDescent="0.25">
      <c r="L427" s="496"/>
      <c r="M427" s="496"/>
      <c r="N427" s="496"/>
      <c r="O427" s="496"/>
      <c r="P427" s="496"/>
      <c r="Q427" s="496"/>
      <c r="R427" s="496"/>
    </row>
    <row r="428" spans="12:18" x14ac:dyDescent="0.25">
      <c r="L428" s="496"/>
      <c r="M428" s="496"/>
      <c r="N428" s="496"/>
      <c r="O428" s="496"/>
      <c r="P428" s="496"/>
      <c r="Q428" s="496"/>
      <c r="R428" s="496"/>
    </row>
    <row r="429" spans="12:18" x14ac:dyDescent="0.25">
      <c r="L429" s="496"/>
      <c r="M429" s="496"/>
      <c r="N429" s="496"/>
      <c r="O429" s="496"/>
      <c r="P429" s="496"/>
      <c r="Q429" s="496"/>
      <c r="R429" s="496"/>
    </row>
    <row r="430" spans="12:18" x14ac:dyDescent="0.25">
      <c r="L430" s="496"/>
      <c r="M430" s="496"/>
      <c r="N430" s="496"/>
      <c r="O430" s="496"/>
      <c r="P430" s="496"/>
      <c r="Q430" s="496"/>
      <c r="R430" s="496"/>
    </row>
    <row r="431" spans="12:18" x14ac:dyDescent="0.25">
      <c r="L431" s="496"/>
      <c r="M431" s="496"/>
      <c r="N431" s="496"/>
      <c r="O431" s="496"/>
      <c r="P431" s="496"/>
      <c r="Q431" s="496"/>
      <c r="R431" s="496"/>
    </row>
    <row r="432" spans="12:18" x14ac:dyDescent="0.25">
      <c r="L432" s="496"/>
      <c r="M432" s="496"/>
      <c r="N432" s="496"/>
      <c r="O432" s="496"/>
      <c r="P432" s="496"/>
      <c r="Q432" s="496"/>
      <c r="R432" s="496"/>
    </row>
    <row r="433" spans="12:18" x14ac:dyDescent="0.25">
      <c r="L433" s="496"/>
      <c r="M433" s="496"/>
      <c r="N433" s="496"/>
      <c r="O433" s="496"/>
      <c r="P433" s="496"/>
      <c r="Q433" s="496"/>
      <c r="R433" s="496"/>
    </row>
    <row r="434" spans="12:18" x14ac:dyDescent="0.25">
      <c r="L434" s="496"/>
      <c r="M434" s="496"/>
      <c r="N434" s="496"/>
      <c r="O434" s="496"/>
      <c r="P434" s="496"/>
      <c r="Q434" s="496"/>
      <c r="R434" s="496"/>
    </row>
    <row r="435" spans="12:18" x14ac:dyDescent="0.25">
      <c r="L435" s="496"/>
      <c r="M435" s="496"/>
      <c r="N435" s="496"/>
      <c r="O435" s="496"/>
      <c r="P435" s="496"/>
      <c r="Q435" s="496"/>
      <c r="R435" s="496"/>
    </row>
    <row r="436" spans="12:18" x14ac:dyDescent="0.25">
      <c r="L436" s="496"/>
      <c r="M436" s="496"/>
      <c r="N436" s="496"/>
      <c r="O436" s="496"/>
      <c r="P436" s="496"/>
      <c r="Q436" s="496"/>
      <c r="R436" s="496"/>
    </row>
    <row r="437" spans="12:18" x14ac:dyDescent="0.25">
      <c r="L437" s="496"/>
      <c r="M437" s="496"/>
      <c r="N437" s="496"/>
      <c r="O437" s="496"/>
      <c r="P437" s="496"/>
      <c r="Q437" s="496"/>
      <c r="R437" s="496"/>
    </row>
    <row r="438" spans="12:18" x14ac:dyDescent="0.25">
      <c r="L438" s="496"/>
      <c r="M438" s="496"/>
      <c r="N438" s="496"/>
      <c r="O438" s="496"/>
      <c r="P438" s="496"/>
      <c r="Q438" s="496"/>
      <c r="R438" s="496"/>
    </row>
    <row r="439" spans="12:18" x14ac:dyDescent="0.25">
      <c r="L439" s="496"/>
      <c r="M439" s="496"/>
      <c r="N439" s="496"/>
      <c r="O439" s="496"/>
      <c r="P439" s="496"/>
      <c r="Q439" s="496"/>
      <c r="R439" s="496"/>
    </row>
    <row r="440" spans="12:18" x14ac:dyDescent="0.25">
      <c r="L440" s="496"/>
      <c r="M440" s="496"/>
      <c r="N440" s="496"/>
      <c r="O440" s="496"/>
      <c r="P440" s="496"/>
      <c r="Q440" s="496"/>
      <c r="R440" s="496"/>
    </row>
    <row r="441" spans="12:18" x14ac:dyDescent="0.25">
      <c r="L441" s="496"/>
      <c r="M441" s="496"/>
      <c r="N441" s="496"/>
      <c r="O441" s="496"/>
      <c r="P441" s="496"/>
      <c r="Q441" s="496"/>
      <c r="R441" s="496"/>
    </row>
    <row r="442" spans="12:18" x14ac:dyDescent="0.25">
      <c r="L442" s="496"/>
      <c r="M442" s="497"/>
      <c r="N442" s="496"/>
      <c r="O442" s="496"/>
      <c r="P442" s="496"/>
      <c r="Q442" s="496"/>
      <c r="R442" s="496"/>
    </row>
    <row r="443" spans="12:18" x14ac:dyDescent="0.25">
      <c r="L443" s="496"/>
      <c r="M443" s="496"/>
      <c r="N443" s="496"/>
      <c r="O443" s="496"/>
      <c r="P443" s="496"/>
      <c r="Q443" s="496"/>
      <c r="R443" s="496"/>
    </row>
    <row r="444" spans="12:18" x14ac:dyDescent="0.25">
      <c r="L444" s="496"/>
      <c r="M444" s="496"/>
      <c r="N444" s="496"/>
      <c r="O444" s="496"/>
      <c r="P444" s="496"/>
      <c r="Q444" s="496"/>
      <c r="R444" s="496"/>
    </row>
    <row r="445" spans="12:18" x14ac:dyDescent="0.25">
      <c r="L445" s="496"/>
      <c r="M445" s="496"/>
      <c r="N445" s="496"/>
      <c r="O445" s="496"/>
      <c r="P445" s="496"/>
      <c r="Q445" s="496"/>
      <c r="R445" s="496"/>
    </row>
    <row r="446" spans="12:18" x14ac:dyDescent="0.25">
      <c r="L446" s="496"/>
      <c r="M446" s="496"/>
      <c r="N446" s="496"/>
      <c r="O446" s="496"/>
      <c r="P446" s="496"/>
      <c r="Q446" s="496"/>
      <c r="R446" s="496"/>
    </row>
    <row r="447" spans="12:18" x14ac:dyDescent="0.25">
      <c r="L447" s="496"/>
      <c r="M447" s="496"/>
      <c r="N447" s="496"/>
      <c r="O447" s="496"/>
      <c r="P447" s="496"/>
      <c r="Q447" s="496"/>
      <c r="R447" s="496"/>
    </row>
    <row r="448" spans="12:18" x14ac:dyDescent="0.25">
      <c r="L448" s="496"/>
      <c r="M448" s="496"/>
      <c r="N448" s="496"/>
      <c r="O448" s="496"/>
      <c r="P448" s="496"/>
      <c r="Q448" s="496"/>
      <c r="R448" s="496"/>
    </row>
    <row r="449" spans="12:18" x14ac:dyDescent="0.25">
      <c r="L449" s="496"/>
      <c r="M449" s="496"/>
      <c r="N449" s="496"/>
      <c r="O449" s="496"/>
      <c r="P449" s="496"/>
      <c r="Q449" s="496"/>
      <c r="R449" s="496"/>
    </row>
    <row r="450" spans="12:18" x14ac:dyDescent="0.25">
      <c r="L450" s="496"/>
      <c r="M450" s="496"/>
      <c r="N450" s="496"/>
      <c r="O450" s="496"/>
      <c r="P450" s="496"/>
      <c r="Q450" s="496"/>
      <c r="R450" s="496"/>
    </row>
    <row r="451" spans="12:18" x14ac:dyDescent="0.25">
      <c r="L451" s="496"/>
      <c r="M451" s="496"/>
      <c r="N451" s="496"/>
      <c r="O451" s="496"/>
      <c r="P451" s="496"/>
      <c r="Q451" s="496"/>
      <c r="R451" s="496"/>
    </row>
    <row r="452" spans="12:18" x14ac:dyDescent="0.25">
      <c r="L452" s="496"/>
      <c r="M452" s="496"/>
      <c r="N452" s="496"/>
      <c r="O452" s="496"/>
      <c r="P452" s="496"/>
      <c r="Q452" s="496"/>
      <c r="R452" s="496"/>
    </row>
    <row r="453" spans="12:18" x14ac:dyDescent="0.25">
      <c r="L453" s="496"/>
      <c r="M453" s="496"/>
      <c r="N453" s="496"/>
      <c r="O453" s="496"/>
      <c r="P453" s="496"/>
      <c r="Q453" s="496"/>
      <c r="R453" s="496"/>
    </row>
    <row r="454" spans="12:18" x14ac:dyDescent="0.25">
      <c r="L454" s="496"/>
      <c r="M454" s="496"/>
      <c r="N454" s="496"/>
      <c r="O454" s="496"/>
      <c r="P454" s="496"/>
      <c r="Q454" s="496"/>
      <c r="R454" s="496"/>
    </row>
    <row r="455" spans="12:18" x14ac:dyDescent="0.25">
      <c r="L455" s="496"/>
      <c r="M455" s="496"/>
      <c r="N455" s="496"/>
      <c r="O455" s="496"/>
      <c r="P455" s="496"/>
      <c r="Q455" s="496"/>
      <c r="R455" s="496"/>
    </row>
    <row r="456" spans="12:18" x14ac:dyDescent="0.25">
      <c r="L456" s="496"/>
      <c r="M456" s="496"/>
      <c r="N456" s="496"/>
      <c r="O456" s="496"/>
      <c r="P456" s="496"/>
      <c r="Q456" s="496"/>
      <c r="R456" s="496"/>
    </row>
    <row r="457" spans="12:18" x14ac:dyDescent="0.25">
      <c r="L457" s="496"/>
      <c r="M457" s="496"/>
      <c r="N457" s="496"/>
      <c r="O457" s="496"/>
      <c r="P457" s="496"/>
      <c r="Q457" s="496"/>
      <c r="R457" s="496"/>
    </row>
    <row r="458" spans="12:18" x14ac:dyDescent="0.25">
      <c r="L458" s="496"/>
      <c r="M458" s="496"/>
      <c r="N458" s="496"/>
      <c r="O458" s="496"/>
      <c r="P458" s="496"/>
      <c r="Q458" s="496"/>
      <c r="R458" s="496"/>
    </row>
    <row r="459" spans="12:18" x14ac:dyDescent="0.25">
      <c r="L459" s="496"/>
      <c r="M459" s="496"/>
      <c r="N459" s="496"/>
      <c r="O459" s="496"/>
      <c r="P459" s="496"/>
      <c r="Q459" s="496"/>
      <c r="R459" s="496"/>
    </row>
    <row r="460" spans="12:18" x14ac:dyDescent="0.25">
      <c r="L460" s="496"/>
      <c r="M460" s="496"/>
      <c r="N460" s="496"/>
      <c r="O460" s="496"/>
      <c r="P460" s="496"/>
      <c r="Q460" s="496"/>
      <c r="R460" s="496"/>
    </row>
    <row r="461" spans="12:18" x14ac:dyDescent="0.25">
      <c r="L461" s="496"/>
      <c r="M461" s="496"/>
      <c r="N461" s="496"/>
      <c r="O461" s="496"/>
      <c r="P461" s="496"/>
      <c r="Q461" s="496"/>
      <c r="R461" s="496"/>
    </row>
    <row r="462" spans="12:18" x14ac:dyDescent="0.25">
      <c r="L462" s="496"/>
      <c r="M462" s="496"/>
      <c r="N462" s="496"/>
      <c r="O462" s="496"/>
      <c r="P462" s="496"/>
      <c r="Q462" s="496"/>
      <c r="R462" s="496"/>
    </row>
    <row r="463" spans="12:18" x14ac:dyDescent="0.25">
      <c r="L463" s="496"/>
      <c r="M463" s="496"/>
      <c r="N463" s="496"/>
      <c r="O463" s="496"/>
      <c r="P463" s="496"/>
      <c r="Q463" s="496"/>
      <c r="R463" s="496"/>
    </row>
    <row r="464" spans="12:18" x14ac:dyDescent="0.25">
      <c r="L464" s="496"/>
      <c r="M464" s="496"/>
      <c r="N464" s="496"/>
      <c r="O464" s="496"/>
      <c r="P464" s="496"/>
      <c r="Q464" s="496"/>
      <c r="R464" s="496"/>
    </row>
    <row r="465" spans="12:18" x14ac:dyDescent="0.25">
      <c r="L465" s="496"/>
      <c r="M465" s="496"/>
      <c r="N465" s="496"/>
      <c r="O465" s="496"/>
      <c r="P465" s="496"/>
      <c r="Q465" s="496"/>
      <c r="R465" s="496"/>
    </row>
    <row r="466" spans="12:18" x14ac:dyDescent="0.25">
      <c r="L466" s="496"/>
      <c r="M466" s="496"/>
      <c r="N466" s="496"/>
      <c r="O466" s="496"/>
      <c r="P466" s="496"/>
      <c r="Q466" s="496"/>
      <c r="R466" s="496"/>
    </row>
    <row r="467" spans="12:18" x14ac:dyDescent="0.25">
      <c r="L467" s="496"/>
      <c r="M467" s="496"/>
      <c r="N467" s="496"/>
      <c r="O467" s="496"/>
      <c r="P467" s="496"/>
      <c r="Q467" s="496"/>
      <c r="R467" s="496"/>
    </row>
    <row r="468" spans="12:18" x14ac:dyDescent="0.25">
      <c r="L468" s="496"/>
      <c r="M468" s="496"/>
      <c r="N468" s="496"/>
      <c r="O468" s="496"/>
      <c r="P468" s="496"/>
      <c r="Q468" s="496"/>
      <c r="R468" s="496"/>
    </row>
    <row r="469" spans="12:18" x14ac:dyDescent="0.25">
      <c r="L469" s="496"/>
      <c r="M469" s="496"/>
      <c r="N469" s="496"/>
      <c r="O469" s="496"/>
      <c r="P469" s="496"/>
      <c r="Q469" s="496"/>
      <c r="R469" s="496"/>
    </row>
    <row r="470" spans="12:18" x14ac:dyDescent="0.25">
      <c r="L470" s="496"/>
      <c r="M470" s="496"/>
      <c r="N470" s="496"/>
      <c r="O470" s="496"/>
      <c r="P470" s="496"/>
      <c r="Q470" s="496"/>
      <c r="R470" s="496"/>
    </row>
    <row r="471" spans="12:18" x14ac:dyDescent="0.25">
      <c r="L471" s="496"/>
      <c r="M471" s="496"/>
      <c r="N471" s="496"/>
      <c r="O471" s="496"/>
      <c r="P471" s="496"/>
      <c r="Q471" s="496"/>
      <c r="R471" s="496"/>
    </row>
    <row r="472" spans="12:18" x14ac:dyDescent="0.25">
      <c r="L472" s="496"/>
      <c r="M472" s="496"/>
      <c r="N472" s="496"/>
      <c r="O472" s="496"/>
      <c r="P472" s="496"/>
      <c r="Q472" s="496"/>
      <c r="R472" s="496"/>
    </row>
    <row r="473" spans="12:18" x14ac:dyDescent="0.25">
      <c r="L473" s="496"/>
      <c r="M473" s="496"/>
      <c r="N473" s="496"/>
      <c r="O473" s="496"/>
      <c r="P473" s="496"/>
      <c r="Q473" s="496"/>
      <c r="R473" s="496"/>
    </row>
    <row r="474" spans="12:18" x14ac:dyDescent="0.25">
      <c r="L474" s="496"/>
      <c r="M474" s="496"/>
      <c r="N474" s="496"/>
      <c r="O474" s="496"/>
      <c r="P474" s="496"/>
      <c r="Q474" s="496"/>
      <c r="R474" s="496"/>
    </row>
    <row r="475" spans="12:18" x14ac:dyDescent="0.25">
      <c r="L475" s="496"/>
      <c r="M475" s="496"/>
      <c r="N475" s="496"/>
      <c r="O475" s="496"/>
      <c r="P475" s="496"/>
      <c r="Q475" s="496"/>
      <c r="R475" s="496"/>
    </row>
    <row r="476" spans="12:18" x14ac:dyDescent="0.25">
      <c r="L476" s="496"/>
      <c r="M476" s="496"/>
      <c r="N476" s="496"/>
      <c r="O476" s="496"/>
      <c r="P476" s="496"/>
      <c r="Q476" s="496"/>
      <c r="R476" s="496"/>
    </row>
    <row r="477" spans="12:18" x14ac:dyDescent="0.25">
      <c r="L477" s="496"/>
      <c r="M477" s="496"/>
      <c r="N477" s="496"/>
      <c r="O477" s="496"/>
      <c r="P477" s="496"/>
      <c r="Q477" s="496"/>
      <c r="R477" s="496"/>
    </row>
    <row r="478" spans="12:18" x14ac:dyDescent="0.25">
      <c r="L478" s="496"/>
      <c r="M478" s="496"/>
      <c r="N478" s="496"/>
      <c r="O478" s="496"/>
      <c r="P478" s="496"/>
      <c r="Q478" s="496"/>
      <c r="R478" s="496"/>
    </row>
    <row r="479" spans="12:18" x14ac:dyDescent="0.25">
      <c r="L479" s="496"/>
      <c r="M479" s="496"/>
      <c r="N479" s="496"/>
      <c r="O479" s="496"/>
      <c r="P479" s="496"/>
      <c r="Q479" s="496"/>
      <c r="R479" s="496"/>
    </row>
    <row r="480" spans="12:18" x14ac:dyDescent="0.25">
      <c r="L480" s="496"/>
      <c r="M480" s="496"/>
      <c r="N480" s="496"/>
      <c r="O480" s="496"/>
      <c r="P480" s="496"/>
      <c r="Q480" s="496"/>
      <c r="R480" s="496"/>
    </row>
    <row r="481" spans="12:18" x14ac:dyDescent="0.25">
      <c r="L481" s="496"/>
      <c r="M481" s="496"/>
      <c r="N481" s="496"/>
      <c r="O481" s="496"/>
      <c r="P481" s="496"/>
      <c r="Q481" s="496"/>
      <c r="R481" s="496"/>
    </row>
    <row r="482" spans="12:18" x14ac:dyDescent="0.25">
      <c r="L482" s="496"/>
      <c r="M482" s="496"/>
      <c r="N482" s="496"/>
      <c r="O482" s="496"/>
      <c r="P482" s="496"/>
      <c r="Q482" s="496"/>
      <c r="R482" s="496"/>
    </row>
    <row r="483" spans="12:18" x14ac:dyDescent="0.25">
      <c r="L483" s="496"/>
      <c r="M483" s="496"/>
      <c r="N483" s="496"/>
      <c r="O483" s="496"/>
      <c r="P483" s="496"/>
      <c r="Q483" s="496"/>
      <c r="R483" s="496"/>
    </row>
    <row r="484" spans="12:18" x14ac:dyDescent="0.25">
      <c r="L484" s="496"/>
      <c r="M484" s="496"/>
      <c r="N484" s="496"/>
      <c r="O484" s="496"/>
      <c r="P484" s="496"/>
      <c r="Q484" s="496"/>
      <c r="R484" s="496"/>
    </row>
    <row r="485" spans="12:18" x14ac:dyDescent="0.25">
      <c r="L485" s="496"/>
      <c r="M485" s="496"/>
      <c r="N485" s="496"/>
      <c r="O485" s="496"/>
      <c r="P485" s="496"/>
      <c r="Q485" s="496"/>
      <c r="R485" s="496"/>
    </row>
    <row r="486" spans="12:18" x14ac:dyDescent="0.25">
      <c r="L486" s="496"/>
      <c r="M486" s="496"/>
      <c r="N486" s="496"/>
      <c r="O486" s="496"/>
      <c r="P486" s="496"/>
      <c r="Q486" s="496"/>
      <c r="R486" s="496"/>
    </row>
    <row r="487" spans="12:18" x14ac:dyDescent="0.25">
      <c r="L487" s="496"/>
      <c r="M487" s="496"/>
      <c r="N487" s="496"/>
      <c r="O487" s="496"/>
      <c r="P487" s="496"/>
      <c r="Q487" s="496"/>
      <c r="R487" s="496"/>
    </row>
    <row r="488" spans="12:18" x14ac:dyDescent="0.25">
      <c r="L488" s="496"/>
      <c r="M488" s="496"/>
      <c r="N488" s="496"/>
      <c r="O488" s="496"/>
      <c r="P488" s="496"/>
      <c r="Q488" s="496"/>
      <c r="R488" s="496"/>
    </row>
    <row r="489" spans="12:18" x14ac:dyDescent="0.25">
      <c r="L489" s="496"/>
      <c r="M489" s="496"/>
      <c r="N489" s="496"/>
      <c r="O489" s="496"/>
      <c r="P489" s="496"/>
      <c r="Q489" s="496"/>
      <c r="R489" s="496"/>
    </row>
    <row r="490" spans="12:18" x14ac:dyDescent="0.25">
      <c r="L490" s="496"/>
      <c r="M490" s="496"/>
      <c r="N490" s="496"/>
      <c r="O490" s="496"/>
      <c r="P490" s="496"/>
      <c r="Q490" s="496"/>
      <c r="R490" s="496"/>
    </row>
    <row r="491" spans="12:18" x14ac:dyDescent="0.25">
      <c r="L491" s="496"/>
      <c r="M491" s="496"/>
      <c r="N491" s="496"/>
      <c r="O491" s="496"/>
      <c r="P491" s="496"/>
      <c r="Q491" s="496"/>
      <c r="R491" s="496"/>
    </row>
    <row r="492" spans="12:18" x14ac:dyDescent="0.25">
      <c r="L492" s="496"/>
      <c r="M492" s="496"/>
      <c r="N492" s="496"/>
      <c r="O492" s="496"/>
      <c r="P492" s="496"/>
      <c r="Q492" s="496"/>
      <c r="R492" s="496"/>
    </row>
    <row r="493" spans="12:18" x14ac:dyDescent="0.25">
      <c r="L493" s="496"/>
      <c r="M493" s="496"/>
      <c r="N493" s="496"/>
      <c r="O493" s="496"/>
      <c r="P493" s="496"/>
      <c r="Q493" s="496"/>
      <c r="R493" s="496"/>
    </row>
    <row r="494" spans="12:18" x14ac:dyDescent="0.25">
      <c r="L494" s="496"/>
      <c r="M494" s="496"/>
      <c r="N494" s="496"/>
      <c r="O494" s="496"/>
      <c r="P494" s="496"/>
      <c r="Q494" s="496"/>
      <c r="R494" s="496"/>
    </row>
    <row r="495" spans="12:18" x14ac:dyDescent="0.25">
      <c r="L495" s="496"/>
      <c r="M495" s="496"/>
      <c r="N495" s="496"/>
      <c r="O495" s="496"/>
      <c r="P495" s="496"/>
      <c r="Q495" s="496"/>
      <c r="R495" s="496"/>
    </row>
    <row r="496" spans="12:18" x14ac:dyDescent="0.25">
      <c r="L496" s="496"/>
      <c r="M496" s="496"/>
      <c r="N496" s="496"/>
      <c r="O496" s="496"/>
      <c r="P496" s="496"/>
      <c r="Q496" s="496"/>
      <c r="R496" s="496"/>
    </row>
    <row r="497" spans="12:18" x14ac:dyDescent="0.25">
      <c r="L497" s="496"/>
      <c r="M497" s="496"/>
      <c r="N497" s="496"/>
      <c r="O497" s="496"/>
      <c r="P497" s="496"/>
      <c r="Q497" s="496"/>
      <c r="R497" s="496"/>
    </row>
    <row r="498" spans="12:18" x14ac:dyDescent="0.25">
      <c r="L498" s="496"/>
      <c r="M498" s="496"/>
      <c r="N498" s="496"/>
      <c r="O498" s="496"/>
      <c r="P498" s="496"/>
      <c r="Q498" s="496"/>
      <c r="R498" s="496"/>
    </row>
    <row r="499" spans="12:18" x14ac:dyDescent="0.25">
      <c r="L499" s="496"/>
      <c r="M499" s="496"/>
      <c r="N499" s="496"/>
      <c r="O499" s="496"/>
      <c r="P499" s="496"/>
      <c r="Q499" s="496"/>
      <c r="R499" s="496"/>
    </row>
    <row r="500" spans="12:18" x14ac:dyDescent="0.25">
      <c r="L500" s="496"/>
      <c r="M500" s="496"/>
      <c r="N500" s="496"/>
      <c r="O500" s="496"/>
      <c r="P500" s="496"/>
      <c r="Q500" s="496"/>
      <c r="R500" s="496"/>
    </row>
    <row r="501" spans="12:18" x14ac:dyDescent="0.25">
      <c r="L501" s="496"/>
      <c r="M501" s="496"/>
      <c r="N501" s="496"/>
      <c r="O501" s="496"/>
      <c r="P501" s="496"/>
      <c r="Q501" s="496"/>
      <c r="R501" s="496"/>
    </row>
    <row r="502" spans="12:18" x14ac:dyDescent="0.25">
      <c r="L502" s="496"/>
      <c r="M502" s="496"/>
      <c r="N502" s="496"/>
      <c r="O502" s="496"/>
      <c r="P502" s="496"/>
      <c r="Q502" s="496"/>
      <c r="R502" s="496"/>
    </row>
    <row r="503" spans="12:18" x14ac:dyDescent="0.25">
      <c r="L503" s="496"/>
      <c r="M503" s="496"/>
      <c r="N503" s="496"/>
      <c r="O503" s="496"/>
      <c r="P503" s="496"/>
      <c r="Q503" s="496"/>
      <c r="R503" s="496"/>
    </row>
    <row r="504" spans="12:18" x14ac:dyDescent="0.25">
      <c r="L504" s="496"/>
      <c r="M504" s="496"/>
      <c r="N504" s="496"/>
      <c r="O504" s="496"/>
      <c r="P504" s="496"/>
      <c r="Q504" s="496"/>
      <c r="R504" s="496"/>
    </row>
    <row r="505" spans="12:18" x14ac:dyDescent="0.25">
      <c r="L505" s="496"/>
      <c r="M505" s="496"/>
      <c r="N505" s="496"/>
      <c r="O505" s="496"/>
      <c r="P505" s="496"/>
      <c r="Q505" s="496"/>
      <c r="R505" s="496"/>
    </row>
    <row r="506" spans="12:18" x14ac:dyDescent="0.25">
      <c r="L506" s="496"/>
      <c r="M506" s="496"/>
      <c r="N506" s="496"/>
      <c r="O506" s="496"/>
      <c r="P506" s="496"/>
      <c r="Q506" s="496"/>
      <c r="R506" s="496"/>
    </row>
    <row r="507" spans="12:18" x14ac:dyDescent="0.25">
      <c r="L507" s="496"/>
      <c r="M507" s="497"/>
      <c r="N507" s="496"/>
      <c r="O507" s="496"/>
      <c r="P507" s="496"/>
      <c r="Q507" s="496"/>
      <c r="R507" s="496"/>
    </row>
    <row r="508" spans="12:18" x14ac:dyDescent="0.25">
      <c r="L508" s="496"/>
      <c r="M508" s="496"/>
      <c r="N508" s="496"/>
      <c r="O508" s="496"/>
      <c r="P508" s="496"/>
      <c r="Q508" s="496"/>
      <c r="R508" s="496"/>
    </row>
    <row r="509" spans="12:18" x14ac:dyDescent="0.25">
      <c r="L509" s="496"/>
      <c r="M509" s="496"/>
      <c r="N509" s="496"/>
      <c r="O509" s="496"/>
      <c r="P509" s="496"/>
      <c r="Q509" s="496"/>
      <c r="R509" s="496"/>
    </row>
    <row r="510" spans="12:18" x14ac:dyDescent="0.25">
      <c r="L510" s="496"/>
      <c r="M510" s="496"/>
      <c r="N510" s="496"/>
      <c r="O510" s="496"/>
      <c r="P510" s="496"/>
      <c r="Q510" s="496"/>
      <c r="R510" s="496"/>
    </row>
    <row r="511" spans="12:18" x14ac:dyDescent="0.25">
      <c r="L511" s="496"/>
      <c r="M511" s="496"/>
      <c r="N511" s="496"/>
      <c r="O511" s="496"/>
      <c r="P511" s="496"/>
      <c r="Q511" s="496"/>
      <c r="R511" s="496"/>
    </row>
    <row r="512" spans="12:18" x14ac:dyDescent="0.25">
      <c r="L512" s="496"/>
      <c r="M512" s="496"/>
      <c r="N512" s="496"/>
      <c r="O512" s="496"/>
      <c r="P512" s="496"/>
      <c r="Q512" s="496"/>
      <c r="R512" s="496"/>
    </row>
    <row r="513" spans="12:18" x14ac:dyDescent="0.25">
      <c r="L513" s="496"/>
      <c r="M513" s="496"/>
      <c r="N513" s="496"/>
      <c r="O513" s="496"/>
      <c r="P513" s="496"/>
      <c r="Q513" s="496"/>
      <c r="R513" s="496"/>
    </row>
    <row r="514" spans="12:18" x14ac:dyDescent="0.25">
      <c r="L514" s="496"/>
      <c r="M514" s="496"/>
      <c r="N514" s="496"/>
      <c r="O514" s="496"/>
      <c r="P514" s="496"/>
      <c r="Q514" s="496"/>
      <c r="R514" s="496"/>
    </row>
    <row r="515" spans="12:18" x14ac:dyDescent="0.25">
      <c r="L515" s="496"/>
      <c r="M515" s="496"/>
      <c r="N515" s="496"/>
      <c r="O515" s="496"/>
      <c r="P515" s="496"/>
      <c r="Q515" s="496"/>
      <c r="R515" s="496"/>
    </row>
    <row r="516" spans="12:18" x14ac:dyDescent="0.25">
      <c r="L516" s="496"/>
      <c r="M516" s="496"/>
      <c r="N516" s="496"/>
      <c r="O516" s="496"/>
      <c r="P516" s="496"/>
      <c r="Q516" s="496"/>
      <c r="R516" s="496"/>
    </row>
    <row r="517" spans="12:18" x14ac:dyDescent="0.25">
      <c r="L517" s="496"/>
      <c r="M517" s="496"/>
      <c r="N517" s="496"/>
      <c r="O517" s="496"/>
      <c r="P517" s="496"/>
      <c r="Q517" s="496"/>
      <c r="R517" s="496"/>
    </row>
    <row r="518" spans="12:18" x14ac:dyDescent="0.25">
      <c r="L518" s="496"/>
      <c r="M518" s="496"/>
      <c r="N518" s="496"/>
      <c r="O518" s="496"/>
      <c r="P518" s="496"/>
      <c r="Q518" s="496"/>
      <c r="R518" s="496"/>
    </row>
    <row r="519" spans="12:18" x14ac:dyDescent="0.25">
      <c r="L519" s="496"/>
      <c r="M519" s="496"/>
      <c r="N519" s="496"/>
      <c r="O519" s="496"/>
      <c r="P519" s="496"/>
      <c r="Q519" s="496"/>
      <c r="R519" s="496"/>
    </row>
    <row r="520" spans="12:18" x14ac:dyDescent="0.25">
      <c r="L520" s="496"/>
      <c r="M520" s="496"/>
      <c r="N520" s="496"/>
      <c r="O520" s="496"/>
      <c r="P520" s="496"/>
      <c r="Q520" s="496"/>
      <c r="R520" s="496"/>
    </row>
    <row r="521" spans="12:18" x14ac:dyDescent="0.25">
      <c r="L521" s="496"/>
      <c r="M521" s="496"/>
      <c r="N521" s="496"/>
      <c r="O521" s="496"/>
      <c r="P521" s="496"/>
      <c r="Q521" s="496"/>
      <c r="R521" s="496"/>
    </row>
    <row r="522" spans="12:18" x14ac:dyDescent="0.25">
      <c r="L522" s="496"/>
      <c r="M522" s="496"/>
      <c r="N522" s="496"/>
      <c r="O522" s="496"/>
      <c r="P522" s="496"/>
      <c r="Q522" s="496"/>
      <c r="R522" s="496"/>
    </row>
    <row r="523" spans="12:18" x14ac:dyDescent="0.25">
      <c r="L523" s="496"/>
      <c r="M523" s="496"/>
      <c r="N523" s="496"/>
      <c r="O523" s="496"/>
      <c r="P523" s="496"/>
      <c r="Q523" s="496"/>
      <c r="R523" s="496"/>
    </row>
    <row r="524" spans="12:18" x14ac:dyDescent="0.25">
      <c r="L524" s="496"/>
      <c r="M524" s="496"/>
      <c r="N524" s="496"/>
      <c r="O524" s="496"/>
      <c r="P524" s="496"/>
      <c r="Q524" s="496"/>
      <c r="R524" s="496"/>
    </row>
    <row r="525" spans="12:18" x14ac:dyDescent="0.25">
      <c r="L525" s="496"/>
      <c r="M525" s="496"/>
      <c r="N525" s="496"/>
      <c r="O525" s="496"/>
      <c r="P525" s="496"/>
      <c r="Q525" s="496"/>
      <c r="R525" s="496"/>
    </row>
    <row r="526" spans="12:18" x14ac:dyDescent="0.25">
      <c r="L526" s="496"/>
      <c r="M526" s="496"/>
      <c r="N526" s="496"/>
      <c r="O526" s="496"/>
      <c r="P526" s="496"/>
      <c r="Q526" s="496"/>
      <c r="R526" s="496"/>
    </row>
    <row r="527" spans="12:18" x14ac:dyDescent="0.25">
      <c r="L527" s="496"/>
      <c r="M527" s="496"/>
      <c r="N527" s="496"/>
      <c r="O527" s="496"/>
      <c r="P527" s="496"/>
      <c r="Q527" s="496"/>
      <c r="R527" s="496"/>
    </row>
    <row r="528" spans="12:18" x14ac:dyDescent="0.25">
      <c r="L528" s="496"/>
      <c r="M528" s="496"/>
      <c r="N528" s="496"/>
      <c r="O528" s="496"/>
      <c r="P528" s="496"/>
      <c r="Q528" s="496"/>
      <c r="R528" s="496"/>
    </row>
    <row r="529" spans="12:18" x14ac:dyDescent="0.25">
      <c r="L529" s="496"/>
      <c r="M529" s="496"/>
      <c r="N529" s="496"/>
      <c r="O529" s="496"/>
      <c r="P529" s="496"/>
      <c r="Q529" s="496"/>
      <c r="R529" s="496"/>
    </row>
    <row r="530" spans="12:18" x14ac:dyDescent="0.25">
      <c r="L530" s="496"/>
      <c r="M530" s="496"/>
      <c r="N530" s="496"/>
      <c r="O530" s="496"/>
      <c r="P530" s="496"/>
      <c r="Q530" s="496"/>
      <c r="R530" s="496"/>
    </row>
    <row r="531" spans="12:18" x14ac:dyDescent="0.25">
      <c r="L531" s="496"/>
      <c r="M531" s="496"/>
      <c r="N531" s="496"/>
      <c r="O531" s="496"/>
      <c r="P531" s="496"/>
      <c r="Q531" s="496"/>
      <c r="R531" s="496"/>
    </row>
    <row r="532" spans="12:18" x14ac:dyDescent="0.25">
      <c r="L532" s="496"/>
      <c r="M532" s="496"/>
      <c r="N532" s="496"/>
      <c r="O532" s="496"/>
      <c r="P532" s="496"/>
      <c r="Q532" s="496"/>
      <c r="R532" s="496"/>
    </row>
    <row r="533" spans="12:18" x14ac:dyDescent="0.25">
      <c r="L533" s="496"/>
      <c r="M533" s="496"/>
      <c r="N533" s="496"/>
      <c r="O533" s="496"/>
      <c r="P533" s="496"/>
      <c r="Q533" s="496"/>
      <c r="R533" s="496"/>
    </row>
    <row r="534" spans="12:18" x14ac:dyDescent="0.25">
      <c r="L534" s="496"/>
      <c r="M534" s="496"/>
      <c r="N534" s="496"/>
      <c r="O534" s="496"/>
      <c r="P534" s="496"/>
      <c r="Q534" s="496"/>
      <c r="R534" s="496"/>
    </row>
    <row r="535" spans="12:18" x14ac:dyDescent="0.25">
      <c r="L535" s="496"/>
      <c r="M535" s="496"/>
      <c r="N535" s="496"/>
      <c r="O535" s="496"/>
      <c r="P535" s="496"/>
      <c r="Q535" s="496"/>
      <c r="R535" s="496"/>
    </row>
    <row r="536" spans="12:18" x14ac:dyDescent="0.25">
      <c r="L536" s="496"/>
      <c r="M536" s="496"/>
      <c r="N536" s="496"/>
      <c r="O536" s="496"/>
      <c r="P536" s="496"/>
      <c r="Q536" s="496"/>
      <c r="R536" s="496"/>
    </row>
    <row r="537" spans="12:18" x14ac:dyDescent="0.25">
      <c r="L537" s="496"/>
      <c r="M537" s="496"/>
      <c r="N537" s="496"/>
      <c r="O537" s="496"/>
      <c r="P537" s="496"/>
      <c r="Q537" s="496"/>
      <c r="R537" s="496"/>
    </row>
    <row r="538" spans="12:18" x14ac:dyDescent="0.25">
      <c r="L538" s="496"/>
      <c r="M538" s="496"/>
      <c r="N538" s="496"/>
      <c r="O538" s="496"/>
      <c r="P538" s="496"/>
      <c r="Q538" s="496"/>
      <c r="R538" s="496"/>
    </row>
    <row r="539" spans="12:18" x14ac:dyDescent="0.25">
      <c r="L539" s="496"/>
      <c r="M539" s="496"/>
      <c r="N539" s="496"/>
      <c r="O539" s="496"/>
      <c r="P539" s="496"/>
      <c r="Q539" s="496"/>
      <c r="R539" s="496"/>
    </row>
    <row r="540" spans="12:18" x14ac:dyDescent="0.25">
      <c r="L540" s="496"/>
      <c r="M540" s="496"/>
      <c r="N540" s="496"/>
      <c r="O540" s="496"/>
      <c r="P540" s="496"/>
      <c r="Q540" s="496"/>
      <c r="R540" s="496"/>
    </row>
    <row r="541" spans="12:18" x14ac:dyDescent="0.25">
      <c r="L541" s="496"/>
      <c r="M541" s="496"/>
      <c r="N541" s="496"/>
      <c r="O541" s="496"/>
      <c r="P541" s="496"/>
      <c r="Q541" s="496"/>
      <c r="R541" s="496"/>
    </row>
    <row r="542" spans="12:18" x14ac:dyDescent="0.25">
      <c r="L542" s="496"/>
      <c r="M542" s="496"/>
      <c r="N542" s="496"/>
      <c r="O542" s="496"/>
      <c r="P542" s="496"/>
      <c r="Q542" s="496"/>
      <c r="R542" s="496"/>
    </row>
    <row r="543" spans="12:18" x14ac:dyDescent="0.25">
      <c r="L543" s="496"/>
      <c r="M543" s="496"/>
      <c r="N543" s="496"/>
      <c r="O543" s="496"/>
      <c r="P543" s="496"/>
      <c r="Q543" s="496"/>
      <c r="R543" s="496"/>
    </row>
    <row r="544" spans="12:18" x14ac:dyDescent="0.25">
      <c r="L544" s="496"/>
      <c r="M544" s="496"/>
      <c r="N544" s="496"/>
      <c r="O544" s="496"/>
      <c r="P544" s="496"/>
      <c r="Q544" s="496"/>
      <c r="R544" s="496"/>
    </row>
    <row r="545" spans="12:18" x14ac:dyDescent="0.25">
      <c r="L545" s="496"/>
      <c r="M545" s="496"/>
      <c r="N545" s="496"/>
      <c r="O545" s="496"/>
      <c r="P545" s="496"/>
      <c r="Q545" s="496"/>
      <c r="R545" s="496"/>
    </row>
    <row r="546" spans="12:18" x14ac:dyDescent="0.25">
      <c r="L546" s="496"/>
      <c r="M546" s="496"/>
      <c r="N546" s="496"/>
      <c r="O546" s="496"/>
      <c r="P546" s="496"/>
      <c r="Q546" s="496"/>
      <c r="R546" s="496"/>
    </row>
    <row r="547" spans="12:18" x14ac:dyDescent="0.25">
      <c r="L547" s="496"/>
      <c r="M547" s="496"/>
      <c r="N547" s="496"/>
      <c r="O547" s="496"/>
      <c r="P547" s="496"/>
      <c r="Q547" s="496"/>
      <c r="R547" s="496"/>
    </row>
    <row r="548" spans="12:18" x14ac:dyDescent="0.25">
      <c r="L548" s="496"/>
      <c r="M548" s="496"/>
      <c r="N548" s="496"/>
      <c r="O548" s="496"/>
      <c r="P548" s="496"/>
      <c r="Q548" s="496"/>
      <c r="R548" s="496"/>
    </row>
    <row r="549" spans="12:18" x14ac:dyDescent="0.25">
      <c r="L549" s="496"/>
      <c r="M549" s="496"/>
      <c r="N549" s="496"/>
      <c r="O549" s="496"/>
      <c r="P549" s="496"/>
      <c r="Q549" s="496"/>
      <c r="R549" s="496"/>
    </row>
    <row r="550" spans="12:18" x14ac:dyDescent="0.25">
      <c r="L550" s="496"/>
      <c r="M550" s="496"/>
      <c r="N550" s="496"/>
      <c r="O550" s="496"/>
      <c r="P550" s="496"/>
      <c r="Q550" s="496"/>
      <c r="R550" s="496"/>
    </row>
    <row r="551" spans="12:18" x14ac:dyDescent="0.25">
      <c r="L551" s="496"/>
      <c r="M551" s="496"/>
      <c r="N551" s="496"/>
      <c r="O551" s="496"/>
      <c r="P551" s="496"/>
      <c r="Q551" s="496"/>
      <c r="R551" s="496"/>
    </row>
    <row r="552" spans="12:18" x14ac:dyDescent="0.25">
      <c r="L552" s="496"/>
      <c r="M552" s="496"/>
      <c r="N552" s="496"/>
      <c r="O552" s="496"/>
      <c r="P552" s="496"/>
      <c r="Q552" s="496"/>
      <c r="R552" s="496"/>
    </row>
    <row r="553" spans="12:18" x14ac:dyDescent="0.25">
      <c r="L553" s="496"/>
      <c r="M553" s="496"/>
      <c r="N553" s="496"/>
      <c r="O553" s="496"/>
      <c r="P553" s="496"/>
      <c r="Q553" s="496"/>
      <c r="R553" s="496"/>
    </row>
    <row r="554" spans="12:18" x14ac:dyDescent="0.25">
      <c r="L554" s="496"/>
      <c r="M554" s="496"/>
      <c r="N554" s="496"/>
      <c r="O554" s="496"/>
      <c r="P554" s="496"/>
      <c r="Q554" s="496"/>
      <c r="R554" s="496"/>
    </row>
    <row r="555" spans="12:18" x14ac:dyDescent="0.25">
      <c r="L555" s="496"/>
      <c r="M555" s="496"/>
      <c r="N555" s="496"/>
      <c r="O555" s="496"/>
      <c r="P555" s="496"/>
      <c r="Q555" s="496"/>
      <c r="R555" s="496"/>
    </row>
    <row r="556" spans="12:18" x14ac:dyDescent="0.25">
      <c r="L556" s="496"/>
      <c r="M556" s="496"/>
      <c r="N556" s="496"/>
      <c r="O556" s="496"/>
      <c r="P556" s="496"/>
      <c r="Q556" s="496"/>
      <c r="R556" s="496"/>
    </row>
    <row r="557" spans="12:18" x14ac:dyDescent="0.25">
      <c r="L557" s="496"/>
      <c r="M557" s="496"/>
      <c r="N557" s="496"/>
      <c r="O557" s="496"/>
      <c r="P557" s="496"/>
      <c r="Q557" s="496"/>
      <c r="R557" s="496"/>
    </row>
    <row r="558" spans="12:18" x14ac:dyDescent="0.25">
      <c r="L558" s="496"/>
      <c r="M558" s="496"/>
      <c r="N558" s="496"/>
      <c r="O558" s="496"/>
      <c r="P558" s="496"/>
      <c r="Q558" s="496"/>
      <c r="R558" s="496"/>
    </row>
    <row r="559" spans="12:18" x14ac:dyDescent="0.25">
      <c r="L559" s="496"/>
      <c r="M559" s="496"/>
      <c r="N559" s="496"/>
      <c r="O559" s="496"/>
      <c r="P559" s="496"/>
      <c r="Q559" s="496"/>
      <c r="R559" s="496"/>
    </row>
    <row r="560" spans="12:18" x14ac:dyDescent="0.25">
      <c r="L560" s="496"/>
      <c r="M560" s="496"/>
      <c r="N560" s="496"/>
      <c r="O560" s="496"/>
      <c r="P560" s="496"/>
      <c r="Q560" s="496"/>
      <c r="R560" s="496"/>
    </row>
    <row r="561" spans="12:18" x14ac:dyDescent="0.25">
      <c r="L561" s="496"/>
      <c r="M561" s="496"/>
      <c r="N561" s="496"/>
      <c r="O561" s="496"/>
      <c r="P561" s="496"/>
      <c r="Q561" s="496"/>
      <c r="R561" s="496"/>
    </row>
    <row r="562" spans="12:18" x14ac:dyDescent="0.25">
      <c r="L562" s="496"/>
      <c r="M562" s="496"/>
      <c r="N562" s="496"/>
      <c r="O562" s="496"/>
      <c r="P562" s="496"/>
      <c r="Q562" s="496"/>
      <c r="R562" s="496"/>
    </row>
    <row r="563" spans="12:18" x14ac:dyDescent="0.25">
      <c r="L563" s="496"/>
      <c r="M563" s="496"/>
      <c r="N563" s="496"/>
      <c r="O563" s="496"/>
      <c r="P563" s="496"/>
      <c r="Q563" s="496"/>
      <c r="R563" s="496"/>
    </row>
    <row r="564" spans="12:18" x14ac:dyDescent="0.25">
      <c r="L564" s="496"/>
      <c r="M564" s="496"/>
      <c r="N564" s="496"/>
      <c r="O564" s="496"/>
      <c r="P564" s="496"/>
      <c r="Q564" s="496"/>
      <c r="R564" s="496"/>
    </row>
    <row r="565" spans="12:18" x14ac:dyDescent="0.25">
      <c r="L565" s="496"/>
      <c r="M565" s="496"/>
      <c r="N565" s="496"/>
      <c r="O565" s="496"/>
      <c r="P565" s="496"/>
      <c r="Q565" s="496"/>
      <c r="R565" s="496"/>
    </row>
    <row r="566" spans="12:18" x14ac:dyDescent="0.25">
      <c r="L566" s="496"/>
      <c r="M566" s="496"/>
      <c r="N566" s="496"/>
      <c r="O566" s="496"/>
      <c r="P566" s="496"/>
      <c r="Q566" s="496"/>
      <c r="R566" s="496"/>
    </row>
    <row r="567" spans="12:18" x14ac:dyDescent="0.25">
      <c r="L567" s="496"/>
      <c r="M567" s="496"/>
      <c r="N567" s="496"/>
      <c r="O567" s="496"/>
      <c r="P567" s="496"/>
      <c r="Q567" s="496"/>
      <c r="R567" s="496"/>
    </row>
    <row r="568" spans="12:18" x14ac:dyDescent="0.25">
      <c r="L568" s="496"/>
      <c r="M568" s="496"/>
      <c r="N568" s="496"/>
      <c r="O568" s="496"/>
      <c r="P568" s="496"/>
      <c r="Q568" s="496"/>
      <c r="R568" s="496"/>
    </row>
    <row r="569" spans="12:18" x14ac:dyDescent="0.25">
      <c r="L569" s="496"/>
      <c r="M569" s="496"/>
      <c r="N569" s="496"/>
      <c r="O569" s="496"/>
      <c r="P569" s="496"/>
      <c r="Q569" s="496"/>
      <c r="R569" s="496"/>
    </row>
    <row r="570" spans="12:18" x14ac:dyDescent="0.25">
      <c r="L570" s="496"/>
      <c r="M570" s="496"/>
      <c r="N570" s="496"/>
      <c r="O570" s="496"/>
      <c r="P570" s="496"/>
      <c r="Q570" s="496"/>
      <c r="R570" s="496"/>
    </row>
    <row r="571" spans="12:18" x14ac:dyDescent="0.25">
      <c r="L571" s="496"/>
      <c r="M571" s="496"/>
      <c r="N571" s="496"/>
      <c r="O571" s="496"/>
      <c r="P571" s="496"/>
      <c r="Q571" s="496"/>
      <c r="R571" s="496"/>
    </row>
    <row r="572" spans="12:18" x14ac:dyDescent="0.25">
      <c r="L572" s="496"/>
      <c r="M572" s="497"/>
      <c r="N572" s="496"/>
      <c r="O572" s="496"/>
      <c r="P572" s="496"/>
      <c r="Q572" s="496"/>
      <c r="R572" s="496"/>
    </row>
    <row r="573" spans="12:18" x14ac:dyDescent="0.25">
      <c r="L573" s="496"/>
      <c r="M573" s="496"/>
      <c r="N573" s="496"/>
      <c r="O573" s="496"/>
      <c r="P573" s="496"/>
      <c r="Q573" s="496"/>
      <c r="R573" s="496"/>
    </row>
    <row r="574" spans="12:18" x14ac:dyDescent="0.25">
      <c r="L574" s="496"/>
      <c r="M574" s="496"/>
      <c r="N574" s="496"/>
      <c r="O574" s="496"/>
      <c r="P574" s="496"/>
      <c r="Q574" s="496"/>
      <c r="R574" s="496"/>
    </row>
    <row r="575" spans="12:18" x14ac:dyDescent="0.25">
      <c r="L575" s="496"/>
      <c r="M575" s="496"/>
      <c r="N575" s="496"/>
      <c r="O575" s="496"/>
      <c r="P575" s="496"/>
      <c r="Q575" s="496"/>
      <c r="R575" s="496"/>
    </row>
    <row r="576" spans="12:18" x14ac:dyDescent="0.25">
      <c r="L576" s="496"/>
      <c r="M576" s="496"/>
      <c r="N576" s="496"/>
      <c r="O576" s="496"/>
      <c r="P576" s="496"/>
      <c r="Q576" s="496"/>
      <c r="R576" s="496"/>
    </row>
    <row r="577" spans="12:18" x14ac:dyDescent="0.25">
      <c r="L577" s="496"/>
      <c r="M577" s="496"/>
      <c r="N577" s="496"/>
      <c r="O577" s="496"/>
      <c r="P577" s="496"/>
      <c r="Q577" s="496"/>
      <c r="R577" s="496"/>
    </row>
    <row r="578" spans="12:18" x14ac:dyDescent="0.25">
      <c r="L578" s="496"/>
      <c r="M578" s="496"/>
      <c r="N578" s="496"/>
      <c r="O578" s="496"/>
      <c r="P578" s="496"/>
      <c r="Q578" s="496"/>
      <c r="R578" s="496"/>
    </row>
    <row r="579" spans="12:18" x14ac:dyDescent="0.25">
      <c r="L579" s="496"/>
      <c r="M579" s="496"/>
      <c r="N579" s="496"/>
      <c r="O579" s="496"/>
      <c r="P579" s="496"/>
      <c r="Q579" s="496"/>
      <c r="R579" s="496"/>
    </row>
    <row r="580" spans="12:18" x14ac:dyDescent="0.25">
      <c r="L580" s="496"/>
      <c r="M580" s="496"/>
      <c r="N580" s="496"/>
      <c r="O580" s="496"/>
      <c r="P580" s="496"/>
      <c r="Q580" s="496"/>
      <c r="R580" s="496"/>
    </row>
    <row r="581" spans="12:18" x14ac:dyDescent="0.25">
      <c r="L581" s="496"/>
      <c r="M581" s="496"/>
      <c r="N581" s="496"/>
      <c r="O581" s="496"/>
      <c r="P581" s="496"/>
      <c r="Q581" s="496"/>
      <c r="R581" s="496"/>
    </row>
    <row r="582" spans="12:18" x14ac:dyDescent="0.25">
      <c r="L582" s="496"/>
      <c r="M582" s="496"/>
      <c r="N582" s="496"/>
      <c r="O582" s="496"/>
      <c r="P582" s="496"/>
      <c r="Q582" s="496"/>
      <c r="R582" s="496"/>
    </row>
    <row r="583" spans="12:18" x14ac:dyDescent="0.25">
      <c r="L583" s="496"/>
      <c r="M583" s="496"/>
      <c r="N583" s="496"/>
      <c r="O583" s="496"/>
      <c r="P583" s="496"/>
      <c r="Q583" s="496"/>
      <c r="R583" s="496"/>
    </row>
    <row r="584" spans="12:18" x14ac:dyDescent="0.25">
      <c r="L584" s="496"/>
      <c r="M584" s="496"/>
      <c r="N584" s="496"/>
      <c r="O584" s="496"/>
      <c r="P584" s="496"/>
      <c r="Q584" s="496"/>
      <c r="R584" s="496"/>
    </row>
    <row r="585" spans="12:18" x14ac:dyDescent="0.25">
      <c r="L585" s="496"/>
      <c r="M585" s="497"/>
      <c r="N585" s="496"/>
      <c r="O585" s="496"/>
      <c r="P585" s="496"/>
      <c r="Q585" s="496"/>
      <c r="R585" s="496"/>
    </row>
    <row r="586" spans="12:18" x14ac:dyDescent="0.25">
      <c r="L586" s="496"/>
      <c r="M586" s="496"/>
      <c r="N586" s="496"/>
      <c r="O586" s="496"/>
      <c r="P586" s="496"/>
      <c r="Q586" s="496"/>
      <c r="R586" s="496"/>
    </row>
    <row r="587" spans="12:18" x14ac:dyDescent="0.25">
      <c r="L587" s="496"/>
      <c r="M587" s="496"/>
      <c r="N587" s="496"/>
      <c r="O587" s="496"/>
      <c r="P587" s="496"/>
      <c r="Q587" s="496"/>
      <c r="R587" s="496"/>
    </row>
    <row r="588" spans="12:18" x14ac:dyDescent="0.25">
      <c r="L588" s="496"/>
      <c r="M588" s="496"/>
      <c r="N588" s="496"/>
      <c r="O588" s="496"/>
      <c r="P588" s="496"/>
      <c r="Q588" s="496"/>
      <c r="R588" s="496"/>
    </row>
    <row r="589" spans="12:18" x14ac:dyDescent="0.25">
      <c r="L589" s="496"/>
      <c r="M589" s="496"/>
      <c r="N589" s="496"/>
      <c r="O589" s="496"/>
      <c r="P589" s="496"/>
      <c r="Q589" s="496"/>
      <c r="R589" s="496"/>
    </row>
    <row r="597" spans="12:17" x14ac:dyDescent="0.25">
      <c r="L597" s="496"/>
      <c r="M597" s="496"/>
      <c r="N597" s="496"/>
      <c r="O597" s="496"/>
      <c r="P597" s="496"/>
      <c r="Q597" s="496"/>
    </row>
    <row r="598" spans="12:17" x14ac:dyDescent="0.25">
      <c r="L598" s="496"/>
      <c r="M598" s="496"/>
      <c r="N598" s="496"/>
      <c r="O598" s="496"/>
      <c r="P598" s="496"/>
      <c r="Q598" s="496"/>
    </row>
    <row r="599" spans="12:17" x14ac:dyDescent="0.25">
      <c r="L599" s="496"/>
      <c r="M599" s="496"/>
      <c r="N599" s="496"/>
      <c r="O599" s="496"/>
      <c r="P599" s="496"/>
      <c r="Q599" s="496"/>
    </row>
    <row r="600" spans="12:17" x14ac:dyDescent="0.25">
      <c r="L600" s="496"/>
      <c r="M600" s="496"/>
      <c r="N600" s="496"/>
      <c r="O600" s="496"/>
      <c r="P600" s="496"/>
      <c r="Q600" s="496"/>
    </row>
    <row r="601" spans="12:17" x14ac:dyDescent="0.25">
      <c r="L601" s="496"/>
      <c r="M601" s="496"/>
      <c r="N601" s="496"/>
      <c r="O601" s="496"/>
      <c r="P601" s="496"/>
      <c r="Q601" s="496"/>
    </row>
    <row r="602" spans="12:17" x14ac:dyDescent="0.25">
      <c r="L602" s="496"/>
      <c r="M602" s="496"/>
      <c r="N602" s="496"/>
      <c r="O602" s="496"/>
      <c r="P602" s="496"/>
      <c r="Q602" s="496"/>
    </row>
    <row r="603" spans="12:17" x14ac:dyDescent="0.25">
      <c r="L603" s="496"/>
      <c r="M603" s="496"/>
      <c r="N603" s="496"/>
      <c r="O603" s="496"/>
      <c r="P603" s="496"/>
      <c r="Q603" s="496"/>
    </row>
    <row r="604" spans="12:17" x14ac:dyDescent="0.25">
      <c r="L604" s="496"/>
      <c r="M604" s="496"/>
      <c r="N604" s="496"/>
      <c r="O604" s="496"/>
      <c r="P604" s="496"/>
      <c r="Q604" s="496"/>
    </row>
    <row r="605" spans="12:17" x14ac:dyDescent="0.25">
      <c r="L605" s="496"/>
      <c r="M605" s="496"/>
      <c r="N605" s="496"/>
      <c r="O605" s="496"/>
      <c r="P605" s="496"/>
      <c r="Q605" s="496"/>
    </row>
    <row r="606" spans="12:17" x14ac:dyDescent="0.25">
      <c r="L606" s="496"/>
      <c r="M606" s="496"/>
      <c r="N606" s="496"/>
      <c r="O606" s="496"/>
      <c r="P606" s="496"/>
      <c r="Q606" s="496"/>
    </row>
    <row r="607" spans="12:17" x14ac:dyDescent="0.25">
      <c r="L607" s="496"/>
      <c r="M607" s="496"/>
      <c r="N607" s="496"/>
      <c r="O607" s="496"/>
      <c r="P607" s="496"/>
      <c r="Q607" s="496"/>
    </row>
    <row r="608" spans="12:17" x14ac:dyDescent="0.25">
      <c r="L608" s="496"/>
      <c r="M608" s="496"/>
      <c r="N608" s="496"/>
      <c r="O608" s="496"/>
      <c r="P608" s="496"/>
      <c r="Q608" s="496"/>
    </row>
    <row r="609" spans="12:17" x14ac:dyDescent="0.25">
      <c r="L609" s="496"/>
      <c r="M609" s="496"/>
      <c r="N609" s="496"/>
      <c r="O609" s="496"/>
      <c r="P609" s="496"/>
      <c r="Q609" s="496"/>
    </row>
    <row r="610" spans="12:17" x14ac:dyDescent="0.25">
      <c r="L610" s="496"/>
      <c r="M610" s="496"/>
      <c r="N610" s="496"/>
      <c r="O610" s="496"/>
      <c r="P610" s="496"/>
      <c r="Q610" s="496"/>
    </row>
    <row r="611" spans="12:17" x14ac:dyDescent="0.25">
      <c r="L611" s="496"/>
      <c r="M611" s="496"/>
      <c r="N611" s="496"/>
      <c r="O611" s="496"/>
      <c r="P611" s="496"/>
      <c r="Q611" s="496"/>
    </row>
    <row r="612" spans="12:17" x14ac:dyDescent="0.25">
      <c r="L612" s="496"/>
      <c r="M612" s="496"/>
      <c r="N612" s="496"/>
      <c r="O612" s="496"/>
      <c r="P612" s="496"/>
      <c r="Q612" s="496"/>
    </row>
    <row r="613" spans="12:17" x14ac:dyDescent="0.25">
      <c r="L613" s="496"/>
      <c r="M613" s="496"/>
      <c r="N613" s="496"/>
      <c r="O613" s="496"/>
      <c r="P613" s="496"/>
      <c r="Q613" s="496"/>
    </row>
    <row r="614" spans="12:17" x14ac:dyDescent="0.25">
      <c r="L614" s="496"/>
      <c r="M614" s="496"/>
      <c r="N614" s="496"/>
      <c r="O614" s="496"/>
      <c r="P614" s="496"/>
      <c r="Q614" s="496"/>
    </row>
    <row r="615" spans="12:17" x14ac:dyDescent="0.25">
      <c r="L615" s="496"/>
      <c r="M615" s="496"/>
      <c r="N615" s="496"/>
      <c r="O615" s="496"/>
      <c r="P615" s="496"/>
      <c r="Q615" s="496"/>
    </row>
    <row r="616" spans="12:17" x14ac:dyDescent="0.25">
      <c r="L616" s="496"/>
      <c r="M616" s="496"/>
      <c r="N616" s="496"/>
      <c r="O616" s="496"/>
      <c r="P616" s="496"/>
      <c r="Q616" s="496"/>
    </row>
    <row r="617" spans="12:17" x14ac:dyDescent="0.25">
      <c r="L617" s="496"/>
      <c r="M617" s="496"/>
      <c r="N617" s="496"/>
      <c r="O617" s="496"/>
      <c r="P617" s="496"/>
      <c r="Q617" s="496"/>
    </row>
    <row r="618" spans="12:17" x14ac:dyDescent="0.25">
      <c r="L618" s="496"/>
      <c r="M618" s="496"/>
      <c r="N618" s="496"/>
      <c r="O618" s="496"/>
      <c r="P618" s="496"/>
      <c r="Q618" s="496"/>
    </row>
    <row r="619" spans="12:17" x14ac:dyDescent="0.25">
      <c r="L619" s="496"/>
      <c r="M619" s="496"/>
      <c r="N619" s="496"/>
      <c r="O619" s="496"/>
      <c r="P619" s="496"/>
      <c r="Q619" s="496"/>
    </row>
    <row r="620" spans="12:17" x14ac:dyDescent="0.25">
      <c r="L620" s="496"/>
      <c r="M620" s="496"/>
      <c r="N620" s="496"/>
      <c r="O620" s="496"/>
      <c r="P620" s="496"/>
      <c r="Q620" s="496"/>
    </row>
    <row r="621" spans="12:17" x14ac:dyDescent="0.25">
      <c r="L621" s="496"/>
      <c r="M621" s="496"/>
      <c r="N621" s="496"/>
      <c r="O621" s="496"/>
      <c r="P621" s="496"/>
      <c r="Q621" s="496"/>
    </row>
    <row r="622" spans="12:17" x14ac:dyDescent="0.25">
      <c r="L622" s="496"/>
      <c r="M622" s="496"/>
      <c r="N622" s="496"/>
      <c r="O622" s="496"/>
      <c r="P622" s="496"/>
      <c r="Q622" s="496"/>
    </row>
    <row r="623" spans="12:17" x14ac:dyDescent="0.25">
      <c r="L623" s="496"/>
      <c r="M623" s="496"/>
      <c r="N623" s="496"/>
      <c r="O623" s="496"/>
      <c r="P623" s="496"/>
      <c r="Q623" s="496"/>
    </row>
    <row r="624" spans="12:17" x14ac:dyDescent="0.25">
      <c r="L624" s="496"/>
      <c r="M624" s="496"/>
      <c r="N624" s="496"/>
      <c r="O624" s="496"/>
      <c r="P624" s="496"/>
      <c r="Q624" s="496"/>
    </row>
    <row r="625" spans="12:17" x14ac:dyDescent="0.25">
      <c r="L625" s="496"/>
      <c r="M625" s="496"/>
      <c r="N625" s="496"/>
      <c r="O625" s="496"/>
      <c r="P625" s="496"/>
      <c r="Q625" s="496"/>
    </row>
    <row r="626" spans="12:17" x14ac:dyDescent="0.25">
      <c r="L626" s="496"/>
      <c r="M626" s="496"/>
      <c r="N626" s="496"/>
      <c r="O626" s="496"/>
      <c r="P626" s="496"/>
      <c r="Q626" s="496"/>
    </row>
    <row r="627" spans="12:17" x14ac:dyDescent="0.25">
      <c r="L627" s="496"/>
      <c r="M627" s="496"/>
      <c r="N627" s="496"/>
      <c r="O627" s="496"/>
      <c r="P627" s="496"/>
      <c r="Q627" s="496"/>
    </row>
    <row r="628" spans="12:17" x14ac:dyDescent="0.25">
      <c r="L628" s="496"/>
      <c r="M628" s="496"/>
      <c r="N628" s="496"/>
      <c r="O628" s="496"/>
      <c r="P628" s="496"/>
      <c r="Q628" s="496"/>
    </row>
    <row r="629" spans="12:17" x14ac:dyDescent="0.25">
      <c r="L629" s="496"/>
      <c r="M629" s="496"/>
      <c r="N629" s="496"/>
      <c r="O629" s="496"/>
      <c r="P629" s="496"/>
      <c r="Q629" s="496"/>
    </row>
    <row r="630" spans="12:17" x14ac:dyDescent="0.25">
      <c r="L630" s="496"/>
      <c r="M630" s="496"/>
      <c r="N630" s="496"/>
      <c r="O630" s="496"/>
      <c r="P630" s="496"/>
      <c r="Q630" s="496"/>
    </row>
    <row r="631" spans="12:17" x14ac:dyDescent="0.25">
      <c r="L631" s="496"/>
      <c r="M631" s="496"/>
      <c r="N631" s="496"/>
      <c r="O631" s="496"/>
      <c r="P631" s="496"/>
      <c r="Q631" s="496"/>
    </row>
    <row r="632" spans="12:17" x14ac:dyDescent="0.25">
      <c r="L632" s="496"/>
      <c r="M632" s="496"/>
      <c r="N632" s="496"/>
      <c r="O632" s="496"/>
      <c r="P632" s="496"/>
      <c r="Q632" s="496"/>
    </row>
    <row r="633" spans="12:17" x14ac:dyDescent="0.25">
      <c r="L633" s="496"/>
      <c r="M633" s="496"/>
      <c r="N633" s="496"/>
      <c r="O633" s="496"/>
      <c r="P633" s="496"/>
      <c r="Q633" s="496"/>
    </row>
    <row r="634" spans="12:17" x14ac:dyDescent="0.25">
      <c r="L634" s="496"/>
      <c r="M634" s="496"/>
      <c r="N634" s="496"/>
      <c r="O634" s="496"/>
      <c r="P634" s="496"/>
      <c r="Q634" s="496"/>
    </row>
    <row r="635" spans="12:17" x14ac:dyDescent="0.25">
      <c r="L635" s="496"/>
      <c r="M635" s="496"/>
      <c r="N635" s="496"/>
      <c r="O635" s="496"/>
      <c r="P635" s="496"/>
      <c r="Q635" s="496"/>
    </row>
    <row r="636" spans="12:17" x14ac:dyDescent="0.25">
      <c r="L636" s="496"/>
      <c r="M636" s="496"/>
      <c r="N636" s="496"/>
      <c r="O636" s="496"/>
      <c r="P636" s="496"/>
      <c r="Q636" s="496"/>
    </row>
    <row r="637" spans="12:17" x14ac:dyDescent="0.25">
      <c r="L637" s="496"/>
      <c r="M637" s="496"/>
      <c r="N637" s="496"/>
      <c r="O637" s="496"/>
      <c r="P637" s="496"/>
      <c r="Q637" s="496"/>
    </row>
    <row r="638" spans="12:17" x14ac:dyDescent="0.25">
      <c r="L638" s="496"/>
      <c r="M638" s="496"/>
      <c r="N638" s="496"/>
      <c r="O638" s="496"/>
      <c r="P638" s="496"/>
      <c r="Q638" s="496"/>
    </row>
    <row r="639" spans="12:17" x14ac:dyDescent="0.25">
      <c r="L639" s="496"/>
      <c r="M639" s="496"/>
      <c r="N639" s="496"/>
      <c r="O639" s="496"/>
      <c r="P639" s="496"/>
      <c r="Q639" s="496"/>
    </row>
    <row r="640" spans="12:17" x14ac:dyDescent="0.25">
      <c r="L640" s="496"/>
      <c r="M640" s="496"/>
      <c r="N640" s="496"/>
      <c r="O640" s="496"/>
      <c r="P640" s="496"/>
      <c r="Q640" s="496"/>
    </row>
    <row r="641" spans="12:17" x14ac:dyDescent="0.25">
      <c r="L641" s="496"/>
      <c r="M641" s="496"/>
      <c r="N641" s="496"/>
      <c r="O641" s="496"/>
      <c r="P641" s="496"/>
      <c r="Q641" s="496"/>
    </row>
    <row r="642" spans="12:17" x14ac:dyDescent="0.25">
      <c r="L642" s="496"/>
      <c r="M642" s="496"/>
      <c r="N642" s="496"/>
      <c r="O642" s="496"/>
      <c r="P642" s="496"/>
      <c r="Q642" s="496"/>
    </row>
    <row r="643" spans="12:17" x14ac:dyDescent="0.25">
      <c r="L643" s="496"/>
      <c r="M643" s="496"/>
      <c r="N643" s="496"/>
      <c r="O643" s="496"/>
      <c r="P643" s="496"/>
      <c r="Q643" s="496"/>
    </row>
    <row r="644" spans="12:17" x14ac:dyDescent="0.25">
      <c r="L644" s="496"/>
      <c r="M644" s="496"/>
      <c r="N644" s="496"/>
      <c r="O644" s="496"/>
      <c r="P644" s="496"/>
      <c r="Q644" s="496"/>
    </row>
    <row r="645" spans="12:17" x14ac:dyDescent="0.25">
      <c r="L645" s="496"/>
      <c r="M645" s="496"/>
      <c r="N645" s="496"/>
      <c r="O645" s="496"/>
      <c r="P645" s="496"/>
      <c r="Q645" s="496"/>
    </row>
    <row r="646" spans="12:17" x14ac:dyDescent="0.25">
      <c r="L646" s="496"/>
      <c r="M646" s="496"/>
      <c r="N646" s="496"/>
      <c r="O646" s="496"/>
      <c r="P646" s="496"/>
      <c r="Q646" s="496"/>
    </row>
    <row r="647" spans="12:17" x14ac:dyDescent="0.25">
      <c r="L647" s="496"/>
      <c r="M647" s="496"/>
      <c r="N647" s="496"/>
      <c r="O647" s="496"/>
      <c r="P647" s="496"/>
      <c r="Q647" s="496"/>
    </row>
    <row r="648" spans="12:17" x14ac:dyDescent="0.25">
      <c r="L648" s="496"/>
      <c r="M648" s="496"/>
      <c r="N648" s="496"/>
      <c r="O648" s="496"/>
      <c r="P648" s="496"/>
      <c r="Q648" s="496"/>
    </row>
    <row r="649" spans="12:17" x14ac:dyDescent="0.25">
      <c r="L649" s="496"/>
      <c r="M649" s="496"/>
      <c r="N649" s="496"/>
      <c r="O649" s="496"/>
      <c r="P649" s="496"/>
      <c r="Q649" s="496"/>
    </row>
    <row r="650" spans="12:17" x14ac:dyDescent="0.25">
      <c r="L650" s="496"/>
      <c r="M650" s="496"/>
      <c r="N650" s="496"/>
      <c r="O650" s="496"/>
      <c r="P650" s="496"/>
      <c r="Q650" s="496"/>
    </row>
    <row r="651" spans="12:17" x14ac:dyDescent="0.25">
      <c r="L651" s="496"/>
      <c r="M651" s="496"/>
      <c r="N651" s="496"/>
      <c r="O651" s="496"/>
      <c r="P651" s="496"/>
      <c r="Q651" s="496"/>
    </row>
    <row r="652" spans="12:17" x14ac:dyDescent="0.25">
      <c r="L652" s="496"/>
      <c r="M652" s="496"/>
      <c r="N652" s="496"/>
      <c r="O652" s="496"/>
      <c r="P652" s="496"/>
      <c r="Q652" s="496"/>
    </row>
    <row r="653" spans="12:17" x14ac:dyDescent="0.25">
      <c r="L653" s="496"/>
      <c r="M653" s="496"/>
      <c r="N653" s="496"/>
      <c r="O653" s="496"/>
      <c r="P653" s="496"/>
      <c r="Q653" s="496"/>
    </row>
    <row r="654" spans="12:17" x14ac:dyDescent="0.25">
      <c r="L654" s="496"/>
      <c r="M654" s="496"/>
      <c r="N654" s="496"/>
      <c r="O654" s="496"/>
      <c r="P654" s="496"/>
      <c r="Q654" s="496"/>
    </row>
    <row r="655" spans="12:17" x14ac:dyDescent="0.25">
      <c r="L655" s="496"/>
      <c r="M655" s="496"/>
      <c r="N655" s="496"/>
      <c r="O655" s="496"/>
      <c r="P655" s="496"/>
      <c r="Q655" s="496"/>
    </row>
    <row r="656" spans="12:17" x14ac:dyDescent="0.25">
      <c r="L656" s="496"/>
      <c r="M656" s="496"/>
      <c r="N656" s="496"/>
      <c r="O656" s="496"/>
      <c r="P656" s="496"/>
      <c r="Q656" s="496"/>
    </row>
    <row r="657" spans="12:17" x14ac:dyDescent="0.25">
      <c r="L657" s="496"/>
      <c r="M657" s="496"/>
      <c r="N657" s="496"/>
      <c r="O657" s="496"/>
      <c r="P657" s="496"/>
      <c r="Q657" s="496"/>
    </row>
    <row r="658" spans="12:17" x14ac:dyDescent="0.25">
      <c r="L658" s="496"/>
      <c r="M658" s="496"/>
      <c r="N658" s="496"/>
      <c r="O658" s="496"/>
      <c r="P658" s="496"/>
      <c r="Q658" s="496"/>
    </row>
    <row r="659" spans="12:17" x14ac:dyDescent="0.25">
      <c r="L659" s="496"/>
      <c r="M659" s="496"/>
      <c r="N659" s="496"/>
      <c r="O659" s="496"/>
      <c r="P659" s="496"/>
      <c r="Q659" s="496"/>
    </row>
    <row r="660" spans="12:17" x14ac:dyDescent="0.25">
      <c r="L660" s="496"/>
      <c r="M660" s="496"/>
      <c r="N660" s="496"/>
      <c r="O660" s="496"/>
      <c r="P660" s="496"/>
      <c r="Q660" s="496"/>
    </row>
    <row r="661" spans="12:17" x14ac:dyDescent="0.25">
      <c r="L661" s="496"/>
      <c r="M661" s="496"/>
      <c r="N661" s="496"/>
      <c r="O661" s="496"/>
      <c r="P661" s="496"/>
      <c r="Q661" s="496"/>
    </row>
    <row r="662" spans="12:17" x14ac:dyDescent="0.25">
      <c r="L662" s="496"/>
      <c r="M662" s="496"/>
      <c r="N662" s="496"/>
      <c r="O662" s="496"/>
      <c r="P662" s="496"/>
      <c r="Q662" s="496"/>
    </row>
    <row r="663" spans="12:17" x14ac:dyDescent="0.25">
      <c r="L663" s="496"/>
      <c r="M663" s="496"/>
      <c r="N663" s="496"/>
      <c r="O663" s="496"/>
      <c r="P663" s="496"/>
      <c r="Q663" s="496"/>
    </row>
    <row r="664" spans="12:17" x14ac:dyDescent="0.25">
      <c r="L664" s="496"/>
      <c r="M664" s="496"/>
      <c r="N664" s="496"/>
      <c r="O664" s="496"/>
      <c r="P664" s="496"/>
      <c r="Q664" s="496"/>
    </row>
    <row r="665" spans="12:17" x14ac:dyDescent="0.25">
      <c r="L665" s="496"/>
      <c r="M665" s="496"/>
      <c r="N665" s="496"/>
      <c r="O665" s="496"/>
      <c r="P665" s="496"/>
      <c r="Q665" s="496"/>
    </row>
    <row r="666" spans="12:17" x14ac:dyDescent="0.25">
      <c r="L666" s="496"/>
      <c r="M666" s="496"/>
      <c r="N666" s="496"/>
      <c r="O666" s="496"/>
      <c r="P666" s="496"/>
      <c r="Q666" s="496"/>
    </row>
    <row r="667" spans="12:17" x14ac:dyDescent="0.25">
      <c r="L667" s="496"/>
      <c r="M667" s="496"/>
      <c r="N667" s="496"/>
      <c r="O667" s="496"/>
      <c r="P667" s="496"/>
      <c r="Q667" s="496"/>
    </row>
    <row r="668" spans="12:17" x14ac:dyDescent="0.25">
      <c r="L668" s="496"/>
      <c r="M668" s="496"/>
      <c r="N668" s="496"/>
      <c r="O668" s="496"/>
      <c r="P668" s="496"/>
      <c r="Q668" s="496"/>
    </row>
    <row r="669" spans="12:17" x14ac:dyDescent="0.25">
      <c r="L669" s="496"/>
      <c r="M669" s="496"/>
      <c r="N669" s="496"/>
      <c r="O669" s="496"/>
      <c r="P669" s="496"/>
      <c r="Q669" s="496"/>
    </row>
    <row r="670" spans="12:17" x14ac:dyDescent="0.25">
      <c r="L670" s="496"/>
      <c r="M670" s="496"/>
      <c r="N670" s="496"/>
      <c r="O670" s="496"/>
      <c r="P670" s="496"/>
      <c r="Q670" s="496"/>
    </row>
    <row r="671" spans="12:17" x14ac:dyDescent="0.25">
      <c r="L671" s="496"/>
      <c r="M671" s="496"/>
      <c r="N671" s="496"/>
      <c r="O671" s="496"/>
      <c r="P671" s="496"/>
      <c r="Q671" s="496"/>
    </row>
    <row r="672" spans="12:17" x14ac:dyDescent="0.25">
      <c r="L672" s="496"/>
      <c r="M672" s="496"/>
      <c r="N672" s="496"/>
      <c r="O672" s="496"/>
      <c r="P672" s="496"/>
      <c r="Q672" s="496"/>
    </row>
    <row r="673" spans="12:17" x14ac:dyDescent="0.25">
      <c r="L673" s="496"/>
      <c r="M673" s="496"/>
      <c r="N673" s="496"/>
      <c r="O673" s="496"/>
      <c r="P673" s="496"/>
      <c r="Q673" s="496"/>
    </row>
    <row r="674" spans="12:17" x14ac:dyDescent="0.25">
      <c r="L674" s="496"/>
      <c r="M674" s="496"/>
      <c r="N674" s="496"/>
      <c r="O674" s="496"/>
      <c r="P674" s="496"/>
      <c r="Q674" s="496"/>
    </row>
    <row r="675" spans="12:17" x14ac:dyDescent="0.25">
      <c r="L675" s="496"/>
      <c r="M675" s="496"/>
      <c r="N675" s="496"/>
      <c r="O675" s="496"/>
      <c r="P675" s="496"/>
      <c r="Q675" s="496"/>
    </row>
    <row r="676" spans="12:17" x14ac:dyDescent="0.25">
      <c r="L676" s="496"/>
      <c r="M676" s="496"/>
      <c r="N676" s="496"/>
      <c r="O676" s="496"/>
      <c r="P676" s="496"/>
      <c r="Q676" s="496"/>
    </row>
    <row r="677" spans="12:17" x14ac:dyDescent="0.25">
      <c r="L677" s="496"/>
      <c r="M677" s="496"/>
      <c r="N677" s="496"/>
      <c r="O677" s="496"/>
      <c r="P677" s="496"/>
      <c r="Q677" s="496"/>
    </row>
    <row r="678" spans="12:17" x14ac:dyDescent="0.25">
      <c r="L678" s="496"/>
      <c r="M678" s="496"/>
      <c r="N678" s="496"/>
      <c r="O678" s="496"/>
      <c r="P678" s="496"/>
      <c r="Q678" s="496"/>
    </row>
    <row r="679" spans="12:17" x14ac:dyDescent="0.25">
      <c r="L679" s="496"/>
      <c r="M679" s="496"/>
      <c r="N679" s="496"/>
      <c r="O679" s="496"/>
      <c r="P679" s="496"/>
      <c r="Q679" s="496"/>
    </row>
    <row r="680" spans="12:17" x14ac:dyDescent="0.25">
      <c r="L680" s="496"/>
      <c r="M680" s="496"/>
      <c r="N680" s="496"/>
      <c r="O680" s="496"/>
      <c r="P680" s="496"/>
      <c r="Q680" s="496"/>
    </row>
    <row r="681" spans="12:17" x14ac:dyDescent="0.25">
      <c r="L681" s="496"/>
      <c r="M681" s="496"/>
      <c r="N681" s="496"/>
      <c r="O681" s="496"/>
      <c r="P681" s="496"/>
      <c r="Q681" s="496"/>
    </row>
    <row r="682" spans="12:17" x14ac:dyDescent="0.25">
      <c r="L682" s="496"/>
      <c r="M682" s="496"/>
      <c r="N682" s="496"/>
      <c r="O682" s="496"/>
      <c r="P682" s="496"/>
      <c r="Q682" s="496"/>
    </row>
    <row r="683" spans="12:17" x14ac:dyDescent="0.25">
      <c r="L683" s="496"/>
      <c r="M683" s="496"/>
      <c r="N683" s="496"/>
      <c r="O683" s="496"/>
      <c r="P683" s="496"/>
      <c r="Q683" s="496"/>
    </row>
    <row r="684" spans="12:17" x14ac:dyDescent="0.25">
      <c r="L684" s="496"/>
      <c r="M684" s="496"/>
      <c r="N684" s="496"/>
      <c r="O684" s="496"/>
      <c r="P684" s="496"/>
      <c r="Q684" s="496"/>
    </row>
    <row r="685" spans="12:17" x14ac:dyDescent="0.25">
      <c r="L685" s="496"/>
      <c r="M685" s="496"/>
      <c r="N685" s="496"/>
      <c r="O685" s="496"/>
      <c r="P685" s="496"/>
      <c r="Q685" s="496"/>
    </row>
    <row r="686" spans="12:17" x14ac:dyDescent="0.25">
      <c r="L686" s="496"/>
      <c r="M686" s="496"/>
      <c r="N686" s="496"/>
      <c r="O686" s="496"/>
      <c r="P686" s="496"/>
      <c r="Q686" s="496"/>
    </row>
    <row r="687" spans="12:17" x14ac:dyDescent="0.25">
      <c r="L687" s="496"/>
      <c r="M687" s="496"/>
      <c r="N687" s="496"/>
      <c r="O687" s="496"/>
      <c r="P687" s="496"/>
      <c r="Q687" s="496"/>
    </row>
    <row r="688" spans="12:17" x14ac:dyDescent="0.25">
      <c r="L688" s="496"/>
      <c r="M688" s="496"/>
      <c r="N688" s="496"/>
      <c r="O688" s="496"/>
      <c r="P688" s="496"/>
      <c r="Q688" s="496"/>
    </row>
    <row r="689" spans="12:17" x14ac:dyDescent="0.25">
      <c r="L689" s="496"/>
      <c r="M689" s="496"/>
      <c r="N689" s="496"/>
      <c r="O689" s="496"/>
      <c r="P689" s="496"/>
      <c r="Q689" s="496"/>
    </row>
    <row r="690" spans="12:17" x14ac:dyDescent="0.25">
      <c r="L690" s="496"/>
      <c r="M690" s="496"/>
      <c r="N690" s="496"/>
      <c r="O690" s="496"/>
      <c r="P690" s="496"/>
      <c r="Q690" s="496"/>
    </row>
    <row r="691" spans="12:17" x14ac:dyDescent="0.25">
      <c r="L691" s="496"/>
      <c r="M691" s="496"/>
      <c r="N691" s="496"/>
      <c r="O691" s="496"/>
      <c r="P691" s="496"/>
      <c r="Q691" s="496"/>
    </row>
    <row r="692" spans="12:17" x14ac:dyDescent="0.25">
      <c r="L692" s="496"/>
      <c r="M692" s="496"/>
      <c r="N692" s="496"/>
      <c r="O692" s="496"/>
      <c r="P692" s="496"/>
      <c r="Q692" s="496"/>
    </row>
    <row r="693" spans="12:17" x14ac:dyDescent="0.25">
      <c r="L693" s="496"/>
      <c r="M693" s="496"/>
      <c r="N693" s="496"/>
      <c r="O693" s="496"/>
      <c r="P693" s="496"/>
      <c r="Q693" s="496"/>
    </row>
    <row r="694" spans="12:17" x14ac:dyDescent="0.25">
      <c r="L694" s="496"/>
      <c r="M694" s="496"/>
      <c r="N694" s="496"/>
      <c r="O694" s="496"/>
      <c r="P694" s="496"/>
      <c r="Q694" s="496"/>
    </row>
    <row r="695" spans="12:17" x14ac:dyDescent="0.25">
      <c r="L695" s="496"/>
      <c r="M695" s="496"/>
      <c r="N695" s="496"/>
      <c r="O695" s="496"/>
      <c r="P695" s="496"/>
      <c r="Q695" s="496"/>
    </row>
    <row r="696" spans="12:17" x14ac:dyDescent="0.25">
      <c r="L696" s="496"/>
      <c r="M696" s="496"/>
      <c r="N696" s="496"/>
      <c r="O696" s="496"/>
      <c r="P696" s="496"/>
      <c r="Q696" s="496"/>
    </row>
    <row r="697" spans="12:17" x14ac:dyDescent="0.25">
      <c r="L697" s="496"/>
      <c r="M697" s="496"/>
      <c r="N697" s="496"/>
      <c r="O697" s="496"/>
      <c r="P697" s="496"/>
      <c r="Q697" s="496"/>
    </row>
    <row r="698" spans="12:17" x14ac:dyDescent="0.25">
      <c r="L698" s="496"/>
      <c r="M698" s="496"/>
      <c r="N698" s="496"/>
      <c r="O698" s="496"/>
      <c r="P698" s="496"/>
      <c r="Q698" s="496"/>
    </row>
    <row r="699" spans="12:17" x14ac:dyDescent="0.25">
      <c r="L699" s="496"/>
      <c r="M699" s="496"/>
      <c r="N699" s="496"/>
      <c r="O699" s="496"/>
      <c r="P699" s="496"/>
      <c r="Q699" s="496"/>
    </row>
    <row r="700" spans="12:17" x14ac:dyDescent="0.25">
      <c r="L700" s="496"/>
      <c r="M700" s="496"/>
      <c r="N700" s="496"/>
      <c r="O700" s="496"/>
      <c r="P700" s="496"/>
      <c r="Q700" s="496"/>
    </row>
    <row r="701" spans="12:17" x14ac:dyDescent="0.25">
      <c r="L701" s="496"/>
      <c r="M701" s="496"/>
      <c r="N701" s="496"/>
      <c r="O701" s="496"/>
      <c r="P701" s="496"/>
      <c r="Q701" s="496"/>
    </row>
    <row r="702" spans="12:17" x14ac:dyDescent="0.25">
      <c r="L702" s="496"/>
      <c r="M702" s="496"/>
      <c r="N702" s="496"/>
      <c r="O702" s="496"/>
      <c r="P702" s="496"/>
      <c r="Q702" s="496"/>
    </row>
    <row r="703" spans="12:17" x14ac:dyDescent="0.25">
      <c r="L703" s="496"/>
      <c r="M703" s="496"/>
      <c r="N703" s="496"/>
      <c r="O703" s="496"/>
      <c r="P703" s="496"/>
      <c r="Q703" s="496"/>
    </row>
    <row r="704" spans="12:17" x14ac:dyDescent="0.25">
      <c r="L704" s="496"/>
      <c r="M704" s="496"/>
      <c r="N704" s="496"/>
      <c r="O704" s="496"/>
      <c r="P704" s="496"/>
      <c r="Q704" s="496"/>
    </row>
    <row r="705" spans="12:17" x14ac:dyDescent="0.25">
      <c r="L705" s="496"/>
      <c r="M705" s="496"/>
      <c r="N705" s="496"/>
      <c r="O705" s="496"/>
      <c r="P705" s="496"/>
      <c r="Q705" s="496"/>
    </row>
    <row r="706" spans="12:17" x14ac:dyDescent="0.25">
      <c r="L706" s="496"/>
      <c r="M706" s="496"/>
      <c r="N706" s="496"/>
      <c r="O706" s="496"/>
      <c r="P706" s="496"/>
      <c r="Q706" s="496"/>
    </row>
    <row r="707" spans="12:17" x14ac:dyDescent="0.25">
      <c r="L707" s="496"/>
      <c r="M707" s="496"/>
      <c r="N707" s="496"/>
      <c r="O707" s="496"/>
      <c r="P707" s="496"/>
      <c r="Q707" s="496"/>
    </row>
    <row r="708" spans="12:17" x14ac:dyDescent="0.25">
      <c r="L708" s="496"/>
      <c r="M708" s="496"/>
      <c r="N708" s="496"/>
      <c r="O708" s="496"/>
      <c r="P708" s="496"/>
      <c r="Q708" s="496"/>
    </row>
    <row r="709" spans="12:17" x14ac:dyDescent="0.25">
      <c r="L709" s="496"/>
      <c r="M709" s="496"/>
      <c r="N709" s="496"/>
      <c r="O709" s="496"/>
      <c r="P709" s="496"/>
      <c r="Q709" s="496"/>
    </row>
    <row r="710" spans="12:17" x14ac:dyDescent="0.25">
      <c r="L710" s="496"/>
      <c r="M710" s="496"/>
      <c r="N710" s="496"/>
      <c r="O710" s="496"/>
      <c r="P710" s="496"/>
      <c r="Q710" s="496"/>
    </row>
    <row r="711" spans="12:17" x14ac:dyDescent="0.25">
      <c r="L711" s="496"/>
      <c r="M711" s="496"/>
      <c r="N711" s="496"/>
      <c r="O711" s="496"/>
      <c r="P711" s="496"/>
      <c r="Q711" s="496"/>
    </row>
    <row r="712" spans="12:17" x14ac:dyDescent="0.25">
      <c r="L712" s="496"/>
      <c r="M712" s="496"/>
      <c r="N712" s="496"/>
      <c r="O712" s="496"/>
      <c r="P712" s="496"/>
      <c r="Q712" s="496"/>
    </row>
    <row r="713" spans="12:17" x14ac:dyDescent="0.25">
      <c r="L713" s="496"/>
      <c r="M713" s="496"/>
      <c r="N713" s="496"/>
      <c r="O713" s="496"/>
      <c r="P713" s="496"/>
      <c r="Q713" s="496"/>
    </row>
    <row r="714" spans="12:17" x14ac:dyDescent="0.25">
      <c r="L714" s="496"/>
      <c r="M714" s="496"/>
      <c r="N714" s="496"/>
      <c r="O714" s="496"/>
      <c r="P714" s="496"/>
      <c r="Q714" s="496"/>
    </row>
    <row r="715" spans="12:17" x14ac:dyDescent="0.25">
      <c r="L715" s="496"/>
      <c r="M715" s="496"/>
      <c r="N715" s="496"/>
      <c r="O715" s="496"/>
      <c r="P715" s="496"/>
      <c r="Q715" s="496"/>
    </row>
    <row r="716" spans="12:17" x14ac:dyDescent="0.25">
      <c r="L716" s="496"/>
      <c r="M716" s="496"/>
      <c r="N716" s="496"/>
      <c r="O716" s="496"/>
      <c r="P716" s="496"/>
      <c r="Q716" s="496"/>
    </row>
    <row r="717" spans="12:17" x14ac:dyDescent="0.25">
      <c r="L717" s="496"/>
      <c r="M717" s="496"/>
      <c r="N717" s="496"/>
      <c r="O717" s="496"/>
      <c r="P717" s="496"/>
      <c r="Q717" s="496"/>
    </row>
    <row r="718" spans="12:17" x14ac:dyDescent="0.25">
      <c r="L718" s="496"/>
      <c r="M718" s="496"/>
      <c r="N718" s="496"/>
      <c r="O718" s="496"/>
      <c r="P718" s="496"/>
      <c r="Q718" s="496"/>
    </row>
    <row r="719" spans="12:17" x14ac:dyDescent="0.25">
      <c r="L719" s="496"/>
      <c r="M719" s="496"/>
      <c r="N719" s="496"/>
      <c r="O719" s="496"/>
      <c r="P719" s="496"/>
      <c r="Q719" s="496"/>
    </row>
    <row r="720" spans="12:17" x14ac:dyDescent="0.25">
      <c r="L720" s="496"/>
      <c r="M720" s="496"/>
      <c r="N720" s="496"/>
      <c r="O720" s="496"/>
      <c r="P720" s="496"/>
      <c r="Q720" s="496"/>
    </row>
    <row r="721" spans="12:17" x14ac:dyDescent="0.25">
      <c r="L721" s="496"/>
      <c r="M721" s="496"/>
      <c r="N721" s="496"/>
      <c r="O721" s="496"/>
      <c r="P721" s="496"/>
      <c r="Q721" s="496"/>
    </row>
    <row r="722" spans="12:17" x14ac:dyDescent="0.25">
      <c r="L722" s="496"/>
      <c r="M722" s="496"/>
      <c r="N722" s="496"/>
      <c r="O722" s="496"/>
      <c r="P722" s="496"/>
      <c r="Q722" s="496"/>
    </row>
    <row r="723" spans="12:17" x14ac:dyDescent="0.25">
      <c r="L723" s="496"/>
      <c r="M723" s="496"/>
      <c r="N723" s="496"/>
      <c r="O723" s="496"/>
      <c r="P723" s="496"/>
      <c r="Q723" s="496"/>
    </row>
    <row r="724" spans="12:17" x14ac:dyDescent="0.25">
      <c r="L724" s="496"/>
      <c r="M724" s="496"/>
      <c r="N724" s="496"/>
      <c r="O724" s="496"/>
      <c r="P724" s="496"/>
      <c r="Q724" s="496"/>
    </row>
    <row r="725" spans="12:17" x14ac:dyDescent="0.25">
      <c r="L725" s="496"/>
      <c r="M725" s="496"/>
      <c r="N725" s="496"/>
      <c r="O725" s="496"/>
      <c r="P725" s="496"/>
      <c r="Q725" s="496"/>
    </row>
    <row r="726" spans="12:17" x14ac:dyDescent="0.25">
      <c r="L726" s="496"/>
      <c r="M726" s="496"/>
      <c r="N726" s="496"/>
      <c r="O726" s="496"/>
      <c r="P726" s="496"/>
      <c r="Q726" s="496"/>
    </row>
    <row r="727" spans="12:17" x14ac:dyDescent="0.25">
      <c r="L727" s="496"/>
      <c r="M727" s="496"/>
      <c r="N727" s="496"/>
      <c r="O727" s="496"/>
      <c r="P727" s="496"/>
      <c r="Q727" s="496"/>
    </row>
    <row r="728" spans="12:17" x14ac:dyDescent="0.25">
      <c r="L728" s="496"/>
      <c r="M728" s="496"/>
      <c r="N728" s="496"/>
      <c r="O728" s="496"/>
      <c r="P728" s="496"/>
      <c r="Q728" s="496"/>
    </row>
    <row r="729" spans="12:17" x14ac:dyDescent="0.25">
      <c r="L729" s="496"/>
      <c r="M729" s="496"/>
      <c r="N729" s="496"/>
      <c r="O729" s="496"/>
      <c r="P729" s="496"/>
      <c r="Q729" s="496"/>
    </row>
    <row r="730" spans="12:17" x14ac:dyDescent="0.25">
      <c r="L730" s="496"/>
      <c r="M730" s="496"/>
      <c r="N730" s="496"/>
      <c r="O730" s="496"/>
      <c r="P730" s="496"/>
      <c r="Q730" s="496"/>
    </row>
    <row r="731" spans="12:17" x14ac:dyDescent="0.25">
      <c r="L731" s="496"/>
      <c r="M731" s="496"/>
      <c r="N731" s="496"/>
      <c r="O731" s="496"/>
      <c r="P731" s="496"/>
      <c r="Q731" s="496"/>
    </row>
    <row r="732" spans="12:17" x14ac:dyDescent="0.25">
      <c r="L732" s="496"/>
      <c r="M732" s="496"/>
      <c r="N732" s="496"/>
      <c r="O732" s="496"/>
      <c r="P732" s="496"/>
      <c r="Q732" s="496"/>
    </row>
    <row r="733" spans="12:17" x14ac:dyDescent="0.25">
      <c r="L733" s="496"/>
      <c r="M733" s="496"/>
      <c r="N733" s="496"/>
      <c r="O733" s="496"/>
      <c r="P733" s="496"/>
      <c r="Q733" s="496"/>
    </row>
    <row r="734" spans="12:17" x14ac:dyDescent="0.25">
      <c r="L734" s="496"/>
      <c r="M734" s="496"/>
      <c r="N734" s="496"/>
      <c r="O734" s="496"/>
      <c r="P734" s="496"/>
      <c r="Q734" s="496"/>
    </row>
    <row r="735" spans="12:17" x14ac:dyDescent="0.25">
      <c r="L735" s="496"/>
      <c r="M735" s="496"/>
      <c r="N735" s="496"/>
      <c r="O735" s="496"/>
      <c r="P735" s="496"/>
      <c r="Q735" s="496"/>
    </row>
    <row r="736" spans="12:17" x14ac:dyDescent="0.25">
      <c r="L736" s="496"/>
      <c r="M736" s="496"/>
      <c r="N736" s="496"/>
      <c r="O736" s="496"/>
      <c r="P736" s="496"/>
      <c r="Q736" s="496"/>
    </row>
    <row r="737" spans="12:17" x14ac:dyDescent="0.25">
      <c r="L737" s="496"/>
      <c r="M737" s="496"/>
      <c r="N737" s="496"/>
      <c r="O737" s="496"/>
      <c r="P737" s="496"/>
      <c r="Q737" s="496"/>
    </row>
    <row r="738" spans="12:17" x14ac:dyDescent="0.25">
      <c r="L738" s="496"/>
      <c r="M738" s="496"/>
      <c r="N738" s="496"/>
      <c r="O738" s="496"/>
      <c r="P738" s="496"/>
      <c r="Q738" s="496"/>
    </row>
    <row r="739" spans="12:17" x14ac:dyDescent="0.25">
      <c r="L739" s="496"/>
      <c r="M739" s="496"/>
      <c r="N739" s="496"/>
      <c r="O739" s="496"/>
      <c r="P739" s="496"/>
      <c r="Q739" s="496"/>
    </row>
    <row r="740" spans="12:17" x14ac:dyDescent="0.25">
      <c r="L740" s="496"/>
      <c r="M740" s="496"/>
      <c r="N740" s="496"/>
      <c r="O740" s="496"/>
      <c r="P740" s="496"/>
      <c r="Q740" s="496"/>
    </row>
    <row r="741" spans="12:17" x14ac:dyDescent="0.25">
      <c r="L741" s="496"/>
      <c r="M741" s="496"/>
      <c r="N741" s="496"/>
      <c r="O741" s="496"/>
      <c r="P741" s="496"/>
      <c r="Q741" s="496"/>
    </row>
    <row r="742" spans="12:17" x14ac:dyDescent="0.25">
      <c r="L742" s="496"/>
      <c r="M742" s="496"/>
      <c r="N742" s="496"/>
      <c r="O742" s="496"/>
      <c r="P742" s="496"/>
      <c r="Q742" s="496"/>
    </row>
    <row r="743" spans="12:17" x14ac:dyDescent="0.25">
      <c r="L743" s="496"/>
      <c r="M743" s="496"/>
      <c r="N743" s="496"/>
      <c r="O743" s="496"/>
      <c r="P743" s="496"/>
      <c r="Q743" s="496"/>
    </row>
    <row r="744" spans="12:17" x14ac:dyDescent="0.25">
      <c r="L744" s="496"/>
      <c r="M744" s="496"/>
      <c r="N744" s="496"/>
      <c r="O744" s="496"/>
      <c r="P744" s="496"/>
      <c r="Q744" s="496"/>
    </row>
    <row r="745" spans="12:17" x14ac:dyDescent="0.25">
      <c r="L745" s="496"/>
      <c r="M745" s="496"/>
      <c r="N745" s="496"/>
      <c r="O745" s="496"/>
      <c r="P745" s="496"/>
      <c r="Q745" s="496"/>
    </row>
    <row r="746" spans="12:17" x14ac:dyDescent="0.25">
      <c r="L746" s="496"/>
      <c r="M746" s="496"/>
      <c r="N746" s="496"/>
      <c r="O746" s="496"/>
      <c r="P746" s="496"/>
      <c r="Q746" s="496"/>
    </row>
    <row r="747" spans="12:17" x14ac:dyDescent="0.25">
      <c r="L747" s="496"/>
      <c r="M747" s="496"/>
      <c r="N747" s="496"/>
      <c r="O747" s="496"/>
      <c r="P747" s="496"/>
      <c r="Q747" s="496"/>
    </row>
    <row r="748" spans="12:17" x14ac:dyDescent="0.25">
      <c r="L748" s="496"/>
      <c r="M748" s="496"/>
      <c r="N748" s="496"/>
      <c r="O748" s="496"/>
      <c r="P748" s="496"/>
      <c r="Q748" s="496"/>
    </row>
    <row r="749" spans="12:17" x14ac:dyDescent="0.25">
      <c r="L749" s="496"/>
      <c r="M749" s="496"/>
      <c r="N749" s="496"/>
      <c r="O749" s="496"/>
      <c r="P749" s="496"/>
      <c r="Q749" s="496"/>
    </row>
    <row r="750" spans="12:17" x14ac:dyDescent="0.25">
      <c r="L750" s="496"/>
      <c r="M750" s="496"/>
      <c r="N750" s="496"/>
      <c r="O750" s="496"/>
      <c r="P750" s="496"/>
      <c r="Q750" s="496"/>
    </row>
    <row r="751" spans="12:17" x14ac:dyDescent="0.25">
      <c r="L751" s="496"/>
      <c r="M751" s="496"/>
      <c r="N751" s="496"/>
      <c r="O751" s="496"/>
      <c r="P751" s="496"/>
      <c r="Q751" s="496"/>
    </row>
    <row r="752" spans="12:17" x14ac:dyDescent="0.25">
      <c r="L752" s="496"/>
      <c r="M752" s="496"/>
      <c r="N752" s="496"/>
      <c r="O752" s="496"/>
      <c r="P752" s="496"/>
      <c r="Q752" s="496"/>
    </row>
    <row r="753" spans="12:17" x14ac:dyDescent="0.25">
      <c r="L753" s="496"/>
      <c r="M753" s="496"/>
      <c r="N753" s="496"/>
      <c r="O753" s="496"/>
      <c r="P753" s="496"/>
      <c r="Q753" s="496"/>
    </row>
    <row r="754" spans="12:17" x14ac:dyDescent="0.25">
      <c r="L754" s="496"/>
      <c r="M754" s="496"/>
      <c r="N754" s="496"/>
      <c r="O754" s="496"/>
      <c r="P754" s="496"/>
      <c r="Q754" s="496"/>
    </row>
    <row r="755" spans="12:17" x14ac:dyDescent="0.25">
      <c r="L755" s="496"/>
      <c r="M755" s="496"/>
      <c r="N755" s="496"/>
      <c r="O755" s="496"/>
      <c r="P755" s="496"/>
      <c r="Q755" s="496"/>
    </row>
    <row r="756" spans="12:17" x14ac:dyDescent="0.25">
      <c r="L756" s="496"/>
      <c r="M756" s="496"/>
      <c r="N756" s="496"/>
      <c r="O756" s="496"/>
      <c r="P756" s="496"/>
      <c r="Q756" s="496"/>
    </row>
    <row r="757" spans="12:17" x14ac:dyDescent="0.25">
      <c r="L757" s="496"/>
      <c r="M757" s="496"/>
      <c r="N757" s="496"/>
      <c r="O757" s="496"/>
      <c r="P757" s="496"/>
      <c r="Q757" s="496"/>
    </row>
    <row r="758" spans="12:17" x14ac:dyDescent="0.25">
      <c r="L758" s="496"/>
      <c r="M758" s="496"/>
      <c r="N758" s="496"/>
      <c r="O758" s="496"/>
      <c r="P758" s="496"/>
      <c r="Q758" s="496"/>
    </row>
    <row r="759" spans="12:17" x14ac:dyDescent="0.25">
      <c r="L759" s="496"/>
      <c r="M759" s="496"/>
      <c r="N759" s="496"/>
      <c r="O759" s="496"/>
      <c r="P759" s="496"/>
      <c r="Q759" s="496"/>
    </row>
    <row r="760" spans="12:17" x14ac:dyDescent="0.25">
      <c r="L760" s="496"/>
      <c r="M760" s="496"/>
      <c r="N760" s="496"/>
      <c r="O760" s="496"/>
      <c r="P760" s="496"/>
      <c r="Q760" s="496"/>
    </row>
    <row r="761" spans="12:17" x14ac:dyDescent="0.25">
      <c r="L761" s="496"/>
      <c r="M761" s="496"/>
      <c r="N761" s="496"/>
      <c r="O761" s="496"/>
      <c r="P761" s="496"/>
      <c r="Q761" s="496"/>
    </row>
    <row r="762" spans="12:17" x14ac:dyDescent="0.25">
      <c r="L762" s="496"/>
      <c r="M762" s="496"/>
      <c r="N762" s="496"/>
      <c r="O762" s="496"/>
      <c r="P762" s="496"/>
      <c r="Q762" s="496"/>
    </row>
    <row r="763" spans="12:17" x14ac:dyDescent="0.25">
      <c r="L763" s="496"/>
      <c r="M763" s="496"/>
      <c r="N763" s="496"/>
      <c r="O763" s="496"/>
      <c r="P763" s="496"/>
      <c r="Q763" s="496"/>
    </row>
    <row r="764" spans="12:17" x14ac:dyDescent="0.25">
      <c r="L764" s="496"/>
      <c r="M764" s="496"/>
      <c r="N764" s="496"/>
      <c r="O764" s="496"/>
      <c r="P764" s="496"/>
      <c r="Q764" s="496"/>
    </row>
    <row r="765" spans="12:17" x14ac:dyDescent="0.25">
      <c r="L765" s="496"/>
      <c r="M765" s="496"/>
      <c r="N765" s="496"/>
      <c r="O765" s="496"/>
      <c r="P765" s="496"/>
      <c r="Q765" s="496"/>
    </row>
    <row r="766" spans="12:17" x14ac:dyDescent="0.25">
      <c r="L766" s="496"/>
      <c r="M766" s="496"/>
      <c r="N766" s="496"/>
      <c r="O766" s="496"/>
      <c r="P766" s="496"/>
      <c r="Q766" s="496"/>
    </row>
    <row r="767" spans="12:17" x14ac:dyDescent="0.25">
      <c r="L767" s="496"/>
      <c r="M767" s="496"/>
      <c r="N767" s="496"/>
      <c r="O767" s="496"/>
      <c r="P767" s="496"/>
      <c r="Q767" s="496"/>
    </row>
    <row r="768" spans="12:17" x14ac:dyDescent="0.25">
      <c r="L768" s="496"/>
      <c r="M768" s="496"/>
      <c r="N768" s="496"/>
      <c r="O768" s="496"/>
      <c r="P768" s="496"/>
      <c r="Q768" s="496"/>
    </row>
    <row r="769" spans="12:17" x14ac:dyDescent="0.25">
      <c r="L769" s="496"/>
      <c r="M769" s="496"/>
      <c r="N769" s="496"/>
      <c r="O769" s="496"/>
      <c r="P769" s="496"/>
      <c r="Q769" s="496"/>
    </row>
    <row r="770" spans="12:17" x14ac:dyDescent="0.25">
      <c r="L770" s="496"/>
      <c r="M770" s="496"/>
      <c r="N770" s="496"/>
      <c r="O770" s="496"/>
      <c r="P770" s="496"/>
      <c r="Q770" s="496"/>
    </row>
    <row r="771" spans="12:17" x14ac:dyDescent="0.25">
      <c r="L771" s="496"/>
      <c r="M771" s="496"/>
      <c r="N771" s="496"/>
      <c r="O771" s="496"/>
      <c r="P771" s="496"/>
      <c r="Q771" s="496"/>
    </row>
    <row r="772" spans="12:17" x14ac:dyDescent="0.25">
      <c r="L772" s="496"/>
      <c r="M772" s="496"/>
      <c r="N772" s="496"/>
      <c r="O772" s="496"/>
      <c r="P772" s="496"/>
      <c r="Q772" s="496"/>
    </row>
    <row r="773" spans="12:17" x14ac:dyDescent="0.25">
      <c r="L773" s="496"/>
      <c r="M773" s="496"/>
      <c r="N773" s="496"/>
      <c r="O773" s="496"/>
      <c r="P773" s="496"/>
      <c r="Q773" s="496"/>
    </row>
    <row r="774" spans="12:17" x14ac:dyDescent="0.25">
      <c r="L774" s="496"/>
      <c r="M774" s="496"/>
      <c r="N774" s="496"/>
      <c r="O774" s="496"/>
      <c r="P774" s="496"/>
      <c r="Q774" s="496"/>
    </row>
    <row r="775" spans="12:17" x14ac:dyDescent="0.25">
      <c r="L775" s="496"/>
      <c r="M775" s="496"/>
      <c r="N775" s="496"/>
      <c r="O775" s="496"/>
      <c r="P775" s="496"/>
      <c r="Q775" s="496"/>
    </row>
    <row r="776" spans="12:17" x14ac:dyDescent="0.25">
      <c r="L776" s="496"/>
      <c r="M776" s="496"/>
      <c r="N776" s="496"/>
      <c r="O776" s="496"/>
      <c r="P776" s="496"/>
      <c r="Q776" s="496"/>
    </row>
    <row r="777" spans="12:17" x14ac:dyDescent="0.25">
      <c r="L777" s="496"/>
      <c r="M777" s="496"/>
      <c r="N777" s="496"/>
      <c r="O777" s="496"/>
      <c r="P777" s="496"/>
      <c r="Q777" s="496"/>
    </row>
    <row r="778" spans="12:17" x14ac:dyDescent="0.25">
      <c r="L778" s="496"/>
      <c r="M778" s="496"/>
      <c r="N778" s="496"/>
      <c r="O778" s="496"/>
      <c r="P778" s="496"/>
      <c r="Q778" s="496"/>
    </row>
    <row r="779" spans="12:17" x14ac:dyDescent="0.25">
      <c r="L779" s="496"/>
      <c r="M779" s="496"/>
      <c r="N779" s="496"/>
      <c r="O779" s="496"/>
      <c r="P779" s="496"/>
      <c r="Q779" s="496"/>
    </row>
    <row r="780" spans="12:17" x14ac:dyDescent="0.25">
      <c r="L780" s="496"/>
      <c r="M780" s="496"/>
      <c r="N780" s="496"/>
      <c r="O780" s="496"/>
      <c r="P780" s="496"/>
      <c r="Q780" s="496"/>
    </row>
    <row r="781" spans="12:17" x14ac:dyDescent="0.25">
      <c r="L781" s="496"/>
      <c r="M781" s="496"/>
      <c r="N781" s="496"/>
      <c r="O781" s="496"/>
      <c r="P781" s="496"/>
      <c r="Q781" s="496"/>
    </row>
    <row r="782" spans="12:17" x14ac:dyDescent="0.25">
      <c r="L782" s="496"/>
      <c r="M782" s="496"/>
      <c r="N782" s="496"/>
      <c r="O782" s="496"/>
      <c r="P782" s="496"/>
      <c r="Q782" s="496"/>
    </row>
    <row r="783" spans="12:17" x14ac:dyDescent="0.25">
      <c r="L783" s="496"/>
      <c r="M783" s="496"/>
      <c r="N783" s="496"/>
      <c r="O783" s="496"/>
      <c r="P783" s="496"/>
      <c r="Q783" s="496"/>
    </row>
    <row r="784" spans="12:17" x14ac:dyDescent="0.25">
      <c r="L784" s="496"/>
      <c r="M784" s="496"/>
      <c r="N784" s="496"/>
      <c r="O784" s="496"/>
      <c r="P784" s="496"/>
      <c r="Q784" s="496"/>
    </row>
    <row r="785" spans="12:17" x14ac:dyDescent="0.25">
      <c r="L785" s="496"/>
      <c r="M785" s="496"/>
      <c r="N785" s="496"/>
      <c r="O785" s="496"/>
      <c r="P785" s="496"/>
      <c r="Q785" s="496"/>
    </row>
    <row r="786" spans="12:17" x14ac:dyDescent="0.25">
      <c r="L786" s="496"/>
      <c r="M786" s="496"/>
      <c r="N786" s="496"/>
      <c r="O786" s="496"/>
      <c r="P786" s="496"/>
      <c r="Q786" s="496"/>
    </row>
    <row r="787" spans="12:17" x14ac:dyDescent="0.25">
      <c r="L787" s="496"/>
      <c r="M787" s="496"/>
      <c r="N787" s="496"/>
      <c r="O787" s="496"/>
      <c r="P787" s="496"/>
      <c r="Q787" s="496"/>
    </row>
    <row r="788" spans="12:17" x14ac:dyDescent="0.25">
      <c r="L788" s="496"/>
      <c r="M788" s="496"/>
      <c r="N788" s="496"/>
      <c r="O788" s="496"/>
      <c r="P788" s="496"/>
      <c r="Q788" s="496"/>
    </row>
    <row r="789" spans="12:17" x14ac:dyDescent="0.25">
      <c r="L789" s="496"/>
      <c r="M789" s="496"/>
      <c r="N789" s="496"/>
      <c r="O789" s="496"/>
      <c r="P789" s="496"/>
      <c r="Q789" s="496"/>
    </row>
    <row r="790" spans="12:17" x14ac:dyDescent="0.25">
      <c r="L790" s="496"/>
      <c r="M790" s="496"/>
      <c r="N790" s="496"/>
      <c r="O790" s="496"/>
      <c r="P790" s="496"/>
      <c r="Q790" s="496"/>
    </row>
    <row r="791" spans="12:17" x14ac:dyDescent="0.25">
      <c r="L791" s="496"/>
      <c r="M791" s="496"/>
      <c r="N791" s="496"/>
      <c r="O791" s="496"/>
      <c r="P791" s="496"/>
      <c r="Q791" s="496"/>
    </row>
    <row r="792" spans="12:17" x14ac:dyDescent="0.25">
      <c r="L792" s="496"/>
      <c r="M792" s="496"/>
      <c r="N792" s="496"/>
      <c r="O792" s="496"/>
      <c r="P792" s="496"/>
      <c r="Q792" s="496"/>
    </row>
    <row r="793" spans="12:17" x14ac:dyDescent="0.25">
      <c r="L793" s="496"/>
      <c r="M793" s="496"/>
      <c r="N793" s="496"/>
      <c r="O793" s="496"/>
      <c r="P793" s="496"/>
      <c r="Q793" s="496"/>
    </row>
    <row r="794" spans="12:17" x14ac:dyDescent="0.25">
      <c r="L794" s="496"/>
      <c r="M794" s="496"/>
      <c r="N794" s="496"/>
      <c r="O794" s="496"/>
      <c r="P794" s="496"/>
      <c r="Q794" s="496"/>
    </row>
    <row r="795" spans="12:17" x14ac:dyDescent="0.25">
      <c r="L795" s="496"/>
      <c r="M795" s="496"/>
      <c r="N795" s="496"/>
      <c r="O795" s="496"/>
      <c r="P795" s="496"/>
      <c r="Q795" s="496"/>
    </row>
    <row r="796" spans="12:17" x14ac:dyDescent="0.25">
      <c r="L796" s="496"/>
      <c r="M796" s="496"/>
      <c r="N796" s="496"/>
      <c r="O796" s="496"/>
      <c r="P796" s="496"/>
      <c r="Q796" s="496"/>
    </row>
    <row r="797" spans="12:17" x14ac:dyDescent="0.25">
      <c r="L797" s="496"/>
      <c r="M797" s="496"/>
      <c r="N797" s="496"/>
      <c r="O797" s="496"/>
      <c r="P797" s="496"/>
      <c r="Q797" s="496"/>
    </row>
    <row r="798" spans="12:17" x14ac:dyDescent="0.25">
      <c r="L798" s="496"/>
      <c r="M798" s="496"/>
      <c r="N798" s="496"/>
      <c r="O798" s="496"/>
      <c r="P798" s="496"/>
      <c r="Q798" s="496"/>
    </row>
    <row r="799" spans="12:17" x14ac:dyDescent="0.25">
      <c r="L799" s="496"/>
      <c r="M799" s="496"/>
      <c r="N799" s="496"/>
      <c r="O799" s="496"/>
      <c r="P799" s="496"/>
      <c r="Q799" s="496"/>
    </row>
    <row r="800" spans="12:17" x14ac:dyDescent="0.25">
      <c r="L800" s="496"/>
      <c r="M800" s="496"/>
      <c r="N800" s="496"/>
      <c r="O800" s="496"/>
      <c r="P800" s="496"/>
      <c r="Q800" s="496"/>
    </row>
    <row r="801" spans="12:17" x14ac:dyDescent="0.25">
      <c r="L801" s="496"/>
      <c r="M801" s="496"/>
      <c r="N801" s="496"/>
      <c r="O801" s="496"/>
      <c r="P801" s="496"/>
      <c r="Q801" s="496"/>
    </row>
    <row r="802" spans="12:17" x14ac:dyDescent="0.25">
      <c r="L802" s="496"/>
      <c r="M802" s="496"/>
      <c r="N802" s="496"/>
      <c r="O802" s="496"/>
      <c r="P802" s="496"/>
      <c r="Q802" s="496"/>
    </row>
    <row r="803" spans="12:17" x14ac:dyDescent="0.25">
      <c r="L803" s="496"/>
      <c r="M803" s="496"/>
      <c r="N803" s="496"/>
      <c r="O803" s="496"/>
      <c r="P803" s="496"/>
      <c r="Q803" s="496"/>
    </row>
    <row r="804" spans="12:17" x14ac:dyDescent="0.25">
      <c r="L804" s="496"/>
      <c r="M804" s="496"/>
      <c r="N804" s="496"/>
      <c r="O804" s="496"/>
      <c r="P804" s="496"/>
      <c r="Q804" s="496"/>
    </row>
    <row r="805" spans="12:17" x14ac:dyDescent="0.25">
      <c r="L805" s="496"/>
      <c r="M805" s="496"/>
      <c r="N805" s="496"/>
      <c r="O805" s="496"/>
      <c r="P805" s="496"/>
      <c r="Q805" s="496"/>
    </row>
    <row r="806" spans="12:17" x14ac:dyDescent="0.25">
      <c r="L806" s="496"/>
      <c r="M806" s="496"/>
      <c r="N806" s="496"/>
      <c r="O806" s="496"/>
      <c r="P806" s="496"/>
      <c r="Q806" s="496"/>
    </row>
    <row r="807" spans="12:17" x14ac:dyDescent="0.25">
      <c r="L807" s="496"/>
      <c r="M807" s="496"/>
      <c r="N807" s="496"/>
      <c r="O807" s="496"/>
      <c r="P807" s="496"/>
      <c r="Q807" s="496"/>
    </row>
    <row r="808" spans="12:17" x14ac:dyDescent="0.25">
      <c r="L808" s="496"/>
      <c r="M808" s="496"/>
      <c r="N808" s="496"/>
      <c r="O808" s="496"/>
      <c r="P808" s="496"/>
      <c r="Q808" s="496"/>
    </row>
    <row r="809" spans="12:17" x14ac:dyDescent="0.25">
      <c r="L809" s="496"/>
      <c r="M809" s="496"/>
      <c r="N809" s="496"/>
      <c r="O809" s="496"/>
      <c r="P809" s="496"/>
      <c r="Q809" s="496"/>
    </row>
    <row r="810" spans="12:17" x14ac:dyDescent="0.25">
      <c r="L810" s="496"/>
      <c r="M810" s="496"/>
      <c r="N810" s="496"/>
      <c r="O810" s="496"/>
      <c r="P810" s="496"/>
      <c r="Q810" s="496"/>
    </row>
    <row r="811" spans="12:17" x14ac:dyDescent="0.25">
      <c r="L811" s="496"/>
      <c r="M811" s="496"/>
      <c r="N811" s="496"/>
      <c r="O811" s="496"/>
      <c r="P811" s="496"/>
      <c r="Q811" s="496"/>
    </row>
    <row r="812" spans="12:17" x14ac:dyDescent="0.25">
      <c r="L812" s="496"/>
      <c r="M812" s="496"/>
      <c r="N812" s="496"/>
      <c r="O812" s="496"/>
      <c r="P812" s="496"/>
      <c r="Q812" s="496"/>
    </row>
    <row r="813" spans="12:17" x14ac:dyDescent="0.25">
      <c r="L813" s="496"/>
      <c r="M813" s="496"/>
      <c r="N813" s="496"/>
      <c r="O813" s="496"/>
      <c r="P813" s="496"/>
      <c r="Q813" s="496"/>
    </row>
    <row r="814" spans="12:17" x14ac:dyDescent="0.25">
      <c r="L814" s="496"/>
      <c r="M814" s="496"/>
      <c r="N814" s="496"/>
      <c r="O814" s="496"/>
      <c r="P814" s="496"/>
      <c r="Q814" s="496"/>
    </row>
    <row r="815" spans="12:17" x14ac:dyDescent="0.25">
      <c r="L815" s="496"/>
      <c r="M815" s="496"/>
      <c r="N815" s="496"/>
      <c r="O815" s="496"/>
      <c r="P815" s="496"/>
      <c r="Q815" s="496"/>
    </row>
    <row r="816" spans="12:17" x14ac:dyDescent="0.25">
      <c r="L816" s="496"/>
      <c r="M816" s="496"/>
      <c r="N816" s="496"/>
      <c r="O816" s="496"/>
      <c r="P816" s="496"/>
      <c r="Q816" s="496"/>
    </row>
    <row r="817" spans="12:17" x14ac:dyDescent="0.25">
      <c r="L817" s="496"/>
      <c r="M817" s="496"/>
      <c r="N817" s="496"/>
      <c r="O817" s="496"/>
      <c r="P817" s="496"/>
      <c r="Q817" s="496"/>
    </row>
    <row r="818" spans="12:17" x14ac:dyDescent="0.25">
      <c r="L818" s="496"/>
      <c r="M818" s="496"/>
      <c r="N818" s="496"/>
      <c r="O818" s="496"/>
      <c r="P818" s="496"/>
      <c r="Q818" s="496"/>
    </row>
    <row r="819" spans="12:17" x14ac:dyDescent="0.25">
      <c r="L819" s="496"/>
      <c r="M819" s="496"/>
      <c r="N819" s="496"/>
      <c r="O819" s="496"/>
      <c r="P819" s="496"/>
      <c r="Q819" s="496"/>
    </row>
    <row r="820" spans="12:17" x14ac:dyDescent="0.25">
      <c r="L820" s="496"/>
      <c r="M820" s="496"/>
      <c r="N820" s="496"/>
      <c r="O820" s="496"/>
      <c r="P820" s="496"/>
      <c r="Q820" s="496"/>
    </row>
    <row r="821" spans="12:17" x14ac:dyDescent="0.25">
      <c r="L821" s="496"/>
      <c r="M821" s="496"/>
      <c r="N821" s="496"/>
      <c r="O821" s="496"/>
      <c r="P821" s="496"/>
      <c r="Q821" s="496"/>
    </row>
    <row r="822" spans="12:17" x14ac:dyDescent="0.25">
      <c r="L822" s="496"/>
      <c r="M822" s="496"/>
      <c r="N822" s="496"/>
      <c r="O822" s="496"/>
      <c r="P822" s="496"/>
      <c r="Q822" s="496"/>
    </row>
    <row r="823" spans="12:17" x14ac:dyDescent="0.25">
      <c r="L823" s="496"/>
      <c r="M823" s="496"/>
      <c r="N823" s="496"/>
      <c r="O823" s="496"/>
      <c r="P823" s="496"/>
      <c r="Q823" s="496"/>
    </row>
    <row r="824" spans="12:17" x14ac:dyDescent="0.25">
      <c r="L824" s="496"/>
      <c r="M824" s="496"/>
      <c r="N824" s="496"/>
      <c r="O824" s="496"/>
      <c r="P824" s="496"/>
      <c r="Q824" s="496"/>
    </row>
    <row r="825" spans="12:17" x14ac:dyDescent="0.25">
      <c r="L825" s="496"/>
      <c r="M825" s="496"/>
      <c r="N825" s="496"/>
      <c r="O825" s="496"/>
      <c r="P825" s="496"/>
      <c r="Q825" s="496"/>
    </row>
    <row r="826" spans="12:17" x14ac:dyDescent="0.25">
      <c r="L826" s="496"/>
      <c r="M826" s="496"/>
      <c r="N826" s="496"/>
      <c r="O826" s="496"/>
      <c r="P826" s="496"/>
      <c r="Q826" s="496"/>
    </row>
    <row r="827" spans="12:17" x14ac:dyDescent="0.25">
      <c r="L827" s="496"/>
      <c r="M827" s="496"/>
      <c r="N827" s="496"/>
      <c r="O827" s="496"/>
      <c r="P827" s="496"/>
      <c r="Q827" s="496"/>
    </row>
    <row r="828" spans="12:17" x14ac:dyDescent="0.25">
      <c r="L828" s="496"/>
      <c r="M828" s="496"/>
      <c r="N828" s="496"/>
      <c r="O828" s="496"/>
      <c r="P828" s="496"/>
      <c r="Q828" s="496"/>
    </row>
    <row r="829" spans="12:17" x14ac:dyDescent="0.25">
      <c r="L829" s="496"/>
      <c r="M829" s="496"/>
      <c r="N829" s="496"/>
      <c r="O829" s="496"/>
      <c r="P829" s="496"/>
      <c r="Q829" s="496"/>
    </row>
    <row r="830" spans="12:17" x14ac:dyDescent="0.25">
      <c r="L830" s="496"/>
      <c r="M830" s="496"/>
      <c r="N830" s="496"/>
      <c r="O830" s="496"/>
      <c r="P830" s="496"/>
      <c r="Q830" s="496"/>
    </row>
    <row r="831" spans="12:17" x14ac:dyDescent="0.25">
      <c r="L831" s="496"/>
      <c r="M831" s="496"/>
      <c r="N831" s="496"/>
      <c r="O831" s="496"/>
      <c r="P831" s="496"/>
      <c r="Q831" s="496"/>
    </row>
    <row r="832" spans="12:17" x14ac:dyDescent="0.25">
      <c r="L832" s="496"/>
      <c r="M832" s="496"/>
      <c r="N832" s="496"/>
      <c r="O832" s="496"/>
      <c r="P832" s="496"/>
      <c r="Q832" s="496"/>
    </row>
    <row r="833" spans="12:17" x14ac:dyDescent="0.25">
      <c r="L833" s="496"/>
      <c r="M833" s="496"/>
      <c r="N833" s="496"/>
      <c r="O833" s="496"/>
      <c r="P833" s="496"/>
      <c r="Q833" s="496"/>
    </row>
    <row r="834" spans="12:17" x14ac:dyDescent="0.25">
      <c r="L834" s="496"/>
      <c r="M834" s="496"/>
      <c r="N834" s="496"/>
      <c r="O834" s="496"/>
      <c r="P834" s="496"/>
      <c r="Q834" s="496"/>
    </row>
    <row r="835" spans="12:17" x14ac:dyDescent="0.25">
      <c r="L835" s="496"/>
      <c r="M835" s="496"/>
      <c r="N835" s="496"/>
      <c r="O835" s="496"/>
      <c r="P835" s="496"/>
      <c r="Q835" s="496"/>
    </row>
    <row r="836" spans="12:17" x14ac:dyDescent="0.25">
      <c r="L836" s="496"/>
      <c r="M836" s="496"/>
      <c r="N836" s="496"/>
      <c r="O836" s="496"/>
      <c r="P836" s="496"/>
      <c r="Q836" s="496"/>
    </row>
    <row r="837" spans="12:17" x14ac:dyDescent="0.25">
      <c r="L837" s="496"/>
      <c r="M837" s="496"/>
      <c r="N837" s="496"/>
      <c r="O837" s="496"/>
      <c r="P837" s="496"/>
      <c r="Q837" s="496"/>
    </row>
    <row r="838" spans="12:17" x14ac:dyDescent="0.25">
      <c r="L838" s="496"/>
      <c r="M838" s="496"/>
      <c r="N838" s="496"/>
      <c r="O838" s="496"/>
      <c r="P838" s="496"/>
      <c r="Q838" s="496"/>
    </row>
    <row r="839" spans="12:17" x14ac:dyDescent="0.25">
      <c r="L839" s="496"/>
      <c r="M839" s="496"/>
      <c r="N839" s="496"/>
      <c r="O839" s="496"/>
      <c r="P839" s="496"/>
      <c r="Q839" s="496"/>
    </row>
    <row r="840" spans="12:17" x14ac:dyDescent="0.25">
      <c r="L840" s="496"/>
      <c r="M840" s="496"/>
      <c r="N840" s="496"/>
      <c r="O840" s="496"/>
      <c r="P840" s="496"/>
      <c r="Q840" s="496"/>
    </row>
    <row r="841" spans="12:17" x14ac:dyDescent="0.25">
      <c r="L841" s="496"/>
      <c r="M841" s="496"/>
      <c r="N841" s="496"/>
      <c r="O841" s="496"/>
      <c r="P841" s="496"/>
      <c r="Q841" s="496"/>
    </row>
    <row r="842" spans="12:17" x14ac:dyDescent="0.25">
      <c r="L842" s="496"/>
      <c r="M842" s="496"/>
      <c r="N842" s="496"/>
      <c r="O842" s="496"/>
      <c r="P842" s="496"/>
      <c r="Q842" s="496"/>
    </row>
    <row r="843" spans="12:17" x14ac:dyDescent="0.25">
      <c r="L843" s="496"/>
      <c r="M843" s="496"/>
      <c r="N843" s="496"/>
      <c r="O843" s="496"/>
      <c r="P843" s="496"/>
      <c r="Q843" s="496"/>
    </row>
    <row r="844" spans="12:17" x14ac:dyDescent="0.25">
      <c r="L844" s="496"/>
      <c r="M844" s="496"/>
      <c r="N844" s="496"/>
      <c r="O844" s="496"/>
      <c r="P844" s="496"/>
      <c r="Q844" s="496"/>
    </row>
    <row r="845" spans="12:17" x14ac:dyDescent="0.25">
      <c r="L845" s="496"/>
      <c r="M845" s="496"/>
      <c r="N845" s="496"/>
      <c r="O845" s="496"/>
      <c r="P845" s="496"/>
      <c r="Q845" s="496"/>
    </row>
    <row r="846" spans="12:17" x14ac:dyDescent="0.25">
      <c r="L846" s="496"/>
      <c r="M846" s="496"/>
      <c r="N846" s="496"/>
      <c r="O846" s="496"/>
      <c r="P846" s="496"/>
      <c r="Q846" s="496"/>
    </row>
    <row r="847" spans="12:17" x14ac:dyDescent="0.25">
      <c r="L847" s="496"/>
      <c r="M847" s="496"/>
      <c r="N847" s="496"/>
      <c r="O847" s="496"/>
      <c r="P847" s="496"/>
      <c r="Q847" s="496"/>
    </row>
    <row r="848" spans="12:17" x14ac:dyDescent="0.25">
      <c r="L848" s="496"/>
      <c r="M848" s="496"/>
      <c r="N848" s="496"/>
      <c r="O848" s="496"/>
      <c r="P848" s="496"/>
      <c r="Q848" s="496"/>
    </row>
    <row r="849" spans="12:17" x14ac:dyDescent="0.25">
      <c r="L849" s="496"/>
      <c r="M849" s="496"/>
      <c r="N849" s="496"/>
      <c r="O849" s="496"/>
      <c r="P849" s="496"/>
      <c r="Q849" s="496"/>
    </row>
    <row r="850" spans="12:17" x14ac:dyDescent="0.25">
      <c r="L850" s="496"/>
      <c r="M850" s="496"/>
      <c r="N850" s="496"/>
      <c r="O850" s="496"/>
      <c r="P850" s="496"/>
      <c r="Q850" s="496"/>
    </row>
    <row r="851" spans="12:17" x14ac:dyDescent="0.25">
      <c r="L851" s="496"/>
      <c r="M851" s="496"/>
      <c r="N851" s="496"/>
      <c r="O851" s="496"/>
      <c r="P851" s="496"/>
      <c r="Q851" s="496"/>
    </row>
    <row r="852" spans="12:17" x14ac:dyDescent="0.25">
      <c r="L852" s="496"/>
      <c r="M852" s="496"/>
      <c r="N852" s="496"/>
      <c r="O852" s="496"/>
      <c r="P852" s="496"/>
      <c r="Q852" s="496"/>
    </row>
    <row r="853" spans="12:17" x14ac:dyDescent="0.25">
      <c r="L853" s="496"/>
      <c r="M853" s="496"/>
      <c r="N853" s="496"/>
      <c r="O853" s="496"/>
      <c r="P853" s="496"/>
      <c r="Q853" s="496"/>
    </row>
    <row r="854" spans="12:17" x14ac:dyDescent="0.25">
      <c r="L854" s="496"/>
      <c r="M854" s="496"/>
      <c r="N854" s="496"/>
      <c r="O854" s="496"/>
      <c r="P854" s="496"/>
      <c r="Q854" s="496"/>
    </row>
    <row r="855" spans="12:17" x14ac:dyDescent="0.25">
      <c r="L855" s="496"/>
      <c r="M855" s="496"/>
      <c r="N855" s="496"/>
      <c r="O855" s="496"/>
      <c r="P855" s="496"/>
      <c r="Q855" s="496"/>
    </row>
    <row r="856" spans="12:17" x14ac:dyDescent="0.25">
      <c r="L856" s="496"/>
      <c r="M856" s="496"/>
      <c r="N856" s="496"/>
      <c r="O856" s="496"/>
      <c r="P856" s="496"/>
      <c r="Q856" s="496"/>
    </row>
    <row r="857" spans="12:17" x14ac:dyDescent="0.25">
      <c r="L857" s="496"/>
      <c r="M857" s="496"/>
      <c r="N857" s="496"/>
      <c r="O857" s="496"/>
      <c r="P857" s="496"/>
      <c r="Q857" s="496"/>
    </row>
    <row r="858" spans="12:17" x14ac:dyDescent="0.25">
      <c r="L858" s="496"/>
      <c r="M858" s="496"/>
      <c r="N858" s="496"/>
      <c r="O858" s="496"/>
      <c r="P858" s="496"/>
      <c r="Q858" s="496"/>
    </row>
    <row r="859" spans="12:17" x14ac:dyDescent="0.25">
      <c r="L859" s="496"/>
      <c r="M859" s="496"/>
      <c r="N859" s="496"/>
      <c r="O859" s="496"/>
      <c r="P859" s="496"/>
      <c r="Q859" s="496"/>
    </row>
    <row r="860" spans="12:17" x14ac:dyDescent="0.25">
      <c r="L860" s="496"/>
      <c r="M860" s="496"/>
      <c r="N860" s="496"/>
      <c r="O860" s="496"/>
      <c r="P860" s="496"/>
      <c r="Q860" s="496"/>
    </row>
    <row r="861" spans="12:17" x14ac:dyDescent="0.25">
      <c r="L861" s="496"/>
      <c r="M861" s="496"/>
      <c r="N861" s="496"/>
      <c r="O861" s="496"/>
      <c r="P861" s="496"/>
      <c r="Q861" s="496"/>
    </row>
    <row r="862" spans="12:17" x14ac:dyDescent="0.25">
      <c r="L862" s="496"/>
      <c r="M862" s="496"/>
      <c r="N862" s="496"/>
      <c r="O862" s="496"/>
      <c r="P862" s="496"/>
      <c r="Q862" s="496"/>
    </row>
    <row r="863" spans="12:17" x14ac:dyDescent="0.25">
      <c r="L863" s="496"/>
      <c r="M863" s="496"/>
      <c r="N863" s="496"/>
      <c r="O863" s="496"/>
      <c r="P863" s="496"/>
      <c r="Q863" s="496"/>
    </row>
    <row r="864" spans="12:17" x14ac:dyDescent="0.25">
      <c r="L864" s="496"/>
      <c r="M864" s="496"/>
      <c r="N864" s="496"/>
      <c r="O864" s="496"/>
      <c r="P864" s="496"/>
      <c r="Q864" s="496"/>
    </row>
    <row r="865" spans="12:17" x14ac:dyDescent="0.25">
      <c r="L865" s="496"/>
      <c r="M865" s="496"/>
      <c r="N865" s="496"/>
      <c r="O865" s="496"/>
      <c r="P865" s="496"/>
      <c r="Q865" s="496"/>
    </row>
    <row r="866" spans="12:17" x14ac:dyDescent="0.25">
      <c r="L866" s="496"/>
      <c r="M866" s="496"/>
      <c r="N866" s="496"/>
      <c r="O866" s="496"/>
      <c r="P866" s="496"/>
      <c r="Q866" s="496"/>
    </row>
    <row r="867" spans="12:17" x14ac:dyDescent="0.25">
      <c r="L867" s="496"/>
      <c r="M867" s="496"/>
      <c r="N867" s="496"/>
      <c r="O867" s="496"/>
      <c r="P867" s="496"/>
      <c r="Q867" s="496"/>
    </row>
    <row r="868" spans="12:17" x14ac:dyDescent="0.25">
      <c r="L868" s="496"/>
      <c r="M868" s="496"/>
      <c r="N868" s="496"/>
      <c r="O868" s="496"/>
      <c r="P868" s="496"/>
      <c r="Q868" s="496"/>
    </row>
    <row r="869" spans="12:17" x14ac:dyDescent="0.25">
      <c r="L869" s="496"/>
      <c r="M869" s="496"/>
      <c r="N869" s="496"/>
      <c r="O869" s="496"/>
      <c r="P869" s="496"/>
      <c r="Q869" s="496"/>
    </row>
    <row r="870" spans="12:17" x14ac:dyDescent="0.25">
      <c r="L870" s="496"/>
      <c r="M870" s="496"/>
      <c r="N870" s="496"/>
      <c r="O870" s="496"/>
      <c r="P870" s="496"/>
      <c r="Q870" s="496"/>
    </row>
    <row r="871" spans="12:17" x14ac:dyDescent="0.25">
      <c r="L871" s="496"/>
      <c r="M871" s="496"/>
      <c r="N871" s="496"/>
      <c r="O871" s="496"/>
      <c r="P871" s="496"/>
      <c r="Q871" s="496"/>
    </row>
    <row r="872" spans="12:17" x14ac:dyDescent="0.25">
      <c r="L872" s="496"/>
      <c r="M872" s="496"/>
      <c r="N872" s="496"/>
      <c r="O872" s="496"/>
      <c r="P872" s="496"/>
      <c r="Q872" s="496"/>
    </row>
    <row r="873" spans="12:17" x14ac:dyDescent="0.25">
      <c r="L873" s="496"/>
      <c r="M873" s="496"/>
      <c r="N873" s="496"/>
      <c r="O873" s="496"/>
      <c r="P873" s="496"/>
      <c r="Q873" s="496"/>
    </row>
    <row r="874" spans="12:17" x14ac:dyDescent="0.25">
      <c r="L874" s="496"/>
      <c r="M874" s="496"/>
      <c r="N874" s="496"/>
      <c r="O874" s="496"/>
      <c r="P874" s="496"/>
      <c r="Q874" s="496"/>
    </row>
    <row r="875" spans="12:17" x14ac:dyDescent="0.25">
      <c r="L875" s="496"/>
      <c r="M875" s="496"/>
      <c r="N875" s="496"/>
      <c r="O875" s="496"/>
      <c r="P875" s="496"/>
      <c r="Q875" s="496"/>
    </row>
    <row r="876" spans="12:17" x14ac:dyDescent="0.25">
      <c r="L876" s="496"/>
      <c r="M876" s="496"/>
      <c r="N876" s="496"/>
      <c r="O876" s="496"/>
      <c r="P876" s="496"/>
      <c r="Q876" s="496"/>
    </row>
    <row r="877" spans="12:17" x14ac:dyDescent="0.25">
      <c r="L877" s="496"/>
      <c r="M877" s="496"/>
      <c r="N877" s="496"/>
      <c r="O877" s="496"/>
      <c r="P877" s="496"/>
      <c r="Q877" s="496"/>
    </row>
    <row r="878" spans="12:17" x14ac:dyDescent="0.25">
      <c r="L878" s="496"/>
      <c r="M878" s="496"/>
      <c r="N878" s="496"/>
      <c r="O878" s="496"/>
      <c r="P878" s="496"/>
      <c r="Q878" s="496"/>
    </row>
    <row r="879" spans="12:17" x14ac:dyDescent="0.25">
      <c r="L879" s="496"/>
      <c r="M879" s="496"/>
      <c r="N879" s="496"/>
      <c r="O879" s="496"/>
      <c r="P879" s="496"/>
      <c r="Q879" s="496"/>
    </row>
    <row r="880" spans="12:17" x14ac:dyDescent="0.25">
      <c r="L880" s="496"/>
      <c r="M880" s="496"/>
      <c r="N880" s="496"/>
      <c r="O880" s="496"/>
      <c r="P880" s="496"/>
      <c r="Q880" s="496"/>
    </row>
    <row r="881" spans="12:17" x14ac:dyDescent="0.25">
      <c r="L881" s="496"/>
      <c r="M881" s="496"/>
      <c r="N881" s="496"/>
      <c r="O881" s="496"/>
      <c r="P881" s="496"/>
      <c r="Q881" s="496"/>
    </row>
    <row r="882" spans="12:17" x14ac:dyDescent="0.25">
      <c r="L882" s="496"/>
      <c r="M882" s="496"/>
      <c r="N882" s="496"/>
      <c r="O882" s="496"/>
      <c r="P882" s="496"/>
      <c r="Q882" s="496"/>
    </row>
    <row r="883" spans="12:17" x14ac:dyDescent="0.25">
      <c r="L883" s="496"/>
      <c r="M883" s="496"/>
      <c r="N883" s="496"/>
      <c r="O883" s="496"/>
      <c r="P883" s="496"/>
      <c r="Q883" s="496"/>
    </row>
    <row r="884" spans="12:17" x14ac:dyDescent="0.25">
      <c r="L884" s="496"/>
      <c r="M884" s="496"/>
      <c r="N884" s="496"/>
      <c r="O884" s="496"/>
      <c r="P884" s="496"/>
      <c r="Q884" s="496"/>
    </row>
    <row r="885" spans="12:17" x14ac:dyDescent="0.25">
      <c r="L885" s="496"/>
      <c r="M885" s="496"/>
      <c r="N885" s="496"/>
      <c r="O885" s="496"/>
      <c r="P885" s="496"/>
      <c r="Q885" s="496"/>
    </row>
    <row r="886" spans="12:17" x14ac:dyDescent="0.25">
      <c r="L886" s="496"/>
      <c r="M886" s="496"/>
      <c r="N886" s="496"/>
      <c r="O886" s="496"/>
      <c r="P886" s="496"/>
      <c r="Q886" s="496"/>
    </row>
    <row r="887" spans="12:17" x14ac:dyDescent="0.25">
      <c r="L887" s="496"/>
      <c r="M887" s="496"/>
      <c r="N887" s="496"/>
      <c r="O887" s="496"/>
      <c r="P887" s="496"/>
      <c r="Q887" s="496"/>
    </row>
    <row r="888" spans="12:17" x14ac:dyDescent="0.25">
      <c r="L888" s="496"/>
      <c r="M888" s="496"/>
      <c r="N888" s="496"/>
      <c r="O888" s="496"/>
      <c r="P888" s="496"/>
      <c r="Q888" s="496"/>
    </row>
    <row r="889" spans="12:17" x14ac:dyDescent="0.25">
      <c r="L889" s="496"/>
      <c r="M889" s="496"/>
      <c r="N889" s="496"/>
      <c r="O889" s="496"/>
      <c r="P889" s="496"/>
      <c r="Q889" s="496"/>
    </row>
    <row r="890" spans="12:17" x14ac:dyDescent="0.25">
      <c r="L890" s="496"/>
      <c r="M890" s="496"/>
      <c r="N890" s="496"/>
      <c r="O890" s="496"/>
      <c r="P890" s="496"/>
      <c r="Q890" s="496"/>
    </row>
    <row r="891" spans="12:17" x14ac:dyDescent="0.25">
      <c r="L891" s="496"/>
      <c r="M891" s="496"/>
      <c r="N891" s="496"/>
      <c r="O891" s="496"/>
      <c r="P891" s="496"/>
      <c r="Q891" s="496"/>
    </row>
    <row r="892" spans="12:17" x14ac:dyDescent="0.25">
      <c r="L892" s="496"/>
      <c r="M892" s="496"/>
      <c r="N892" s="496"/>
      <c r="O892" s="496"/>
      <c r="P892" s="496"/>
      <c r="Q892" s="496"/>
    </row>
    <row r="893" spans="12:17" x14ac:dyDescent="0.25">
      <c r="L893" s="496"/>
      <c r="M893" s="496"/>
      <c r="N893" s="496"/>
      <c r="O893" s="496"/>
      <c r="P893" s="496"/>
      <c r="Q893" s="496"/>
    </row>
    <row r="894" spans="12:17" x14ac:dyDescent="0.25">
      <c r="L894" s="496"/>
      <c r="M894" s="496"/>
      <c r="N894" s="496"/>
      <c r="O894" s="496"/>
      <c r="P894" s="496"/>
      <c r="Q894" s="496"/>
    </row>
    <row r="895" spans="12:17" x14ac:dyDescent="0.25">
      <c r="L895" s="496"/>
      <c r="M895" s="496"/>
      <c r="N895" s="496"/>
      <c r="O895" s="496"/>
      <c r="P895" s="496"/>
      <c r="Q895" s="496"/>
    </row>
    <row r="896" spans="12:17" x14ac:dyDescent="0.25">
      <c r="L896" s="496"/>
      <c r="M896" s="496"/>
      <c r="N896" s="496"/>
      <c r="O896" s="496"/>
      <c r="P896" s="496"/>
      <c r="Q896" s="496"/>
    </row>
    <row r="897" spans="12:17" x14ac:dyDescent="0.25">
      <c r="L897" s="496"/>
      <c r="M897" s="496"/>
      <c r="N897" s="496"/>
      <c r="O897" s="496"/>
      <c r="P897" s="496"/>
      <c r="Q897" s="496"/>
    </row>
    <row r="898" spans="12:17" x14ac:dyDescent="0.25">
      <c r="L898" s="496"/>
      <c r="M898" s="496"/>
      <c r="N898" s="496"/>
      <c r="O898" s="496"/>
      <c r="P898" s="496"/>
      <c r="Q898" s="496"/>
    </row>
    <row r="899" spans="12:17" x14ac:dyDescent="0.25">
      <c r="L899" s="496"/>
      <c r="M899" s="496"/>
      <c r="N899" s="496"/>
      <c r="O899" s="496"/>
      <c r="P899" s="496"/>
      <c r="Q899" s="496"/>
    </row>
    <row r="900" spans="12:17" x14ac:dyDescent="0.25">
      <c r="L900" s="496"/>
      <c r="M900" s="496"/>
      <c r="N900" s="496"/>
      <c r="O900" s="496"/>
      <c r="P900" s="496"/>
      <c r="Q900" s="496"/>
    </row>
    <row r="901" spans="12:17" x14ac:dyDescent="0.25">
      <c r="L901" s="496"/>
      <c r="M901" s="496"/>
      <c r="N901" s="496"/>
      <c r="O901" s="496"/>
      <c r="P901" s="496"/>
      <c r="Q901" s="496"/>
    </row>
    <row r="902" spans="12:17" x14ac:dyDescent="0.25">
      <c r="L902" s="496"/>
      <c r="M902" s="496"/>
      <c r="N902" s="496"/>
      <c r="O902" s="496"/>
      <c r="P902" s="496"/>
      <c r="Q902" s="496"/>
    </row>
    <row r="903" spans="12:17" x14ac:dyDescent="0.25">
      <c r="L903" s="496"/>
      <c r="M903" s="496"/>
      <c r="N903" s="496"/>
      <c r="O903" s="496"/>
      <c r="P903" s="496"/>
      <c r="Q903" s="496"/>
    </row>
    <row r="904" spans="12:17" x14ac:dyDescent="0.25">
      <c r="L904" s="496"/>
      <c r="M904" s="496"/>
      <c r="N904" s="496"/>
      <c r="O904" s="496"/>
      <c r="P904" s="496"/>
      <c r="Q904" s="496"/>
    </row>
    <row r="905" spans="12:17" x14ac:dyDescent="0.25">
      <c r="L905" s="496"/>
      <c r="M905" s="496"/>
      <c r="N905" s="496"/>
      <c r="O905" s="496"/>
      <c r="P905" s="496"/>
      <c r="Q905" s="496"/>
    </row>
    <row r="906" spans="12:17" x14ac:dyDescent="0.25">
      <c r="L906" s="496"/>
      <c r="M906" s="496"/>
      <c r="N906" s="496"/>
      <c r="O906" s="496"/>
      <c r="P906" s="496"/>
      <c r="Q906" s="496"/>
    </row>
    <row r="907" spans="12:17" x14ac:dyDescent="0.25">
      <c r="L907" s="496"/>
      <c r="M907" s="496"/>
      <c r="N907" s="496"/>
      <c r="O907" s="496"/>
      <c r="P907" s="496"/>
      <c r="Q907" s="496"/>
    </row>
    <row r="908" spans="12:17" x14ac:dyDescent="0.25">
      <c r="L908" s="496"/>
      <c r="M908" s="496"/>
      <c r="N908" s="496"/>
      <c r="O908" s="496"/>
      <c r="P908" s="496"/>
      <c r="Q908" s="496"/>
    </row>
    <row r="909" spans="12:17" x14ac:dyDescent="0.25">
      <c r="L909" s="496"/>
      <c r="M909" s="496"/>
      <c r="N909" s="496"/>
      <c r="O909" s="496"/>
      <c r="P909" s="496"/>
      <c r="Q909" s="496"/>
    </row>
    <row r="910" spans="12:17" x14ac:dyDescent="0.25">
      <c r="L910" s="496"/>
      <c r="M910" s="496"/>
      <c r="N910" s="496"/>
      <c r="O910" s="496"/>
      <c r="P910" s="496"/>
      <c r="Q910" s="496"/>
    </row>
    <row r="911" spans="12:17" x14ac:dyDescent="0.25">
      <c r="L911" s="496"/>
      <c r="M911" s="496"/>
      <c r="N911" s="496"/>
      <c r="O911" s="496"/>
      <c r="P911" s="496"/>
      <c r="Q911" s="496"/>
    </row>
    <row r="912" spans="12:17" x14ac:dyDescent="0.25">
      <c r="L912" s="496"/>
      <c r="M912" s="496"/>
      <c r="N912" s="496"/>
      <c r="O912" s="496"/>
      <c r="P912" s="496"/>
      <c r="Q912" s="496"/>
    </row>
    <row r="913" spans="12:17" x14ac:dyDescent="0.25">
      <c r="L913" s="496"/>
      <c r="M913" s="496"/>
      <c r="N913" s="496"/>
      <c r="O913" s="496"/>
      <c r="P913" s="496"/>
      <c r="Q913" s="496"/>
    </row>
    <row r="914" spans="12:17" x14ac:dyDescent="0.25">
      <c r="L914" s="496"/>
      <c r="M914" s="496"/>
      <c r="N914" s="496"/>
      <c r="O914" s="496"/>
      <c r="P914" s="496"/>
      <c r="Q914" s="496"/>
    </row>
    <row r="915" spans="12:17" x14ac:dyDescent="0.25">
      <c r="L915" s="496"/>
      <c r="M915" s="496"/>
      <c r="N915" s="496"/>
      <c r="O915" s="496"/>
      <c r="P915" s="496"/>
      <c r="Q915" s="496"/>
    </row>
    <row r="916" spans="12:17" x14ac:dyDescent="0.25">
      <c r="L916" s="496"/>
      <c r="M916" s="496"/>
      <c r="N916" s="496"/>
      <c r="O916" s="496"/>
      <c r="P916" s="496"/>
      <c r="Q916" s="496"/>
    </row>
    <row r="917" spans="12:17" x14ac:dyDescent="0.25">
      <c r="L917" s="496"/>
      <c r="M917" s="496"/>
      <c r="N917" s="496"/>
      <c r="O917" s="496"/>
      <c r="P917" s="496"/>
      <c r="Q917" s="496"/>
    </row>
    <row r="918" spans="12:17" x14ac:dyDescent="0.25">
      <c r="L918" s="496"/>
      <c r="M918" s="496"/>
      <c r="N918" s="496"/>
      <c r="O918" s="496"/>
      <c r="P918" s="496"/>
      <c r="Q918" s="496"/>
    </row>
    <row r="919" spans="12:17" x14ac:dyDescent="0.25">
      <c r="L919" s="496"/>
      <c r="M919" s="496"/>
      <c r="N919" s="496"/>
      <c r="O919" s="496"/>
      <c r="P919" s="496"/>
      <c r="Q919" s="496"/>
    </row>
    <row r="920" spans="12:17" x14ac:dyDescent="0.25">
      <c r="L920" s="496"/>
      <c r="M920" s="496"/>
      <c r="N920" s="496"/>
      <c r="O920" s="496"/>
      <c r="P920" s="496"/>
      <c r="Q920" s="496"/>
    </row>
    <row r="921" spans="12:17" x14ac:dyDescent="0.25">
      <c r="L921" s="496"/>
      <c r="M921" s="496"/>
      <c r="N921" s="496"/>
      <c r="O921" s="496"/>
      <c r="P921" s="496"/>
      <c r="Q921" s="496"/>
    </row>
    <row r="922" spans="12:17" x14ac:dyDescent="0.25">
      <c r="L922" s="496"/>
      <c r="M922" s="496"/>
      <c r="N922" s="496"/>
      <c r="O922" s="496"/>
      <c r="P922" s="496"/>
      <c r="Q922" s="496"/>
    </row>
    <row r="923" spans="12:17" x14ac:dyDescent="0.25">
      <c r="L923" s="496"/>
      <c r="M923" s="496"/>
      <c r="N923" s="496"/>
      <c r="O923" s="496"/>
      <c r="P923" s="496"/>
      <c r="Q923" s="496"/>
    </row>
    <row r="924" spans="12:17" x14ac:dyDescent="0.25">
      <c r="L924" s="496"/>
      <c r="M924" s="496"/>
      <c r="N924" s="496"/>
      <c r="O924" s="496"/>
      <c r="P924" s="496"/>
      <c r="Q924" s="496"/>
    </row>
    <row r="925" spans="12:17" x14ac:dyDescent="0.25">
      <c r="L925" s="496"/>
      <c r="M925" s="496"/>
      <c r="N925" s="496"/>
      <c r="O925" s="496"/>
      <c r="P925" s="496"/>
      <c r="Q925" s="496"/>
    </row>
    <row r="926" spans="12:17" x14ac:dyDescent="0.25">
      <c r="L926" s="496"/>
      <c r="M926" s="496"/>
      <c r="N926" s="496"/>
      <c r="O926" s="496"/>
      <c r="P926" s="496"/>
      <c r="Q926" s="496"/>
    </row>
    <row r="927" spans="12:17" x14ac:dyDescent="0.25">
      <c r="L927" s="496"/>
      <c r="M927" s="496"/>
      <c r="N927" s="496"/>
      <c r="O927" s="496"/>
      <c r="P927" s="496"/>
      <c r="Q927" s="496"/>
    </row>
    <row r="928" spans="12:17" x14ac:dyDescent="0.25">
      <c r="L928" s="496"/>
      <c r="M928" s="496"/>
      <c r="N928" s="496"/>
      <c r="O928" s="496"/>
      <c r="P928" s="496"/>
      <c r="Q928" s="496"/>
    </row>
    <row r="929" spans="12:17" x14ac:dyDescent="0.25">
      <c r="L929" s="496"/>
      <c r="M929" s="496"/>
      <c r="N929" s="496"/>
      <c r="O929" s="496"/>
      <c r="P929" s="496"/>
      <c r="Q929" s="496"/>
    </row>
    <row r="930" spans="12:17" x14ac:dyDescent="0.25">
      <c r="L930" s="496"/>
      <c r="M930" s="496"/>
      <c r="N930" s="496"/>
      <c r="O930" s="496"/>
      <c r="P930" s="496"/>
      <c r="Q930" s="496"/>
    </row>
    <row r="931" spans="12:17" x14ac:dyDescent="0.25">
      <c r="L931" s="496"/>
      <c r="M931" s="496"/>
      <c r="N931" s="496"/>
      <c r="O931" s="496"/>
      <c r="P931" s="496"/>
      <c r="Q931" s="496"/>
    </row>
    <row r="932" spans="12:17" x14ac:dyDescent="0.25">
      <c r="L932" s="496"/>
      <c r="M932" s="496"/>
      <c r="N932" s="496"/>
      <c r="O932" s="496"/>
      <c r="P932" s="496"/>
      <c r="Q932" s="496"/>
    </row>
    <row r="933" spans="12:17" x14ac:dyDescent="0.25">
      <c r="L933" s="496"/>
      <c r="M933" s="496"/>
      <c r="N933" s="496"/>
      <c r="O933" s="496"/>
      <c r="P933" s="496"/>
      <c r="Q933" s="496"/>
    </row>
    <row r="934" spans="12:17" x14ac:dyDescent="0.25">
      <c r="L934" s="496"/>
      <c r="M934" s="496"/>
      <c r="N934" s="496"/>
      <c r="O934" s="496"/>
      <c r="P934" s="496"/>
      <c r="Q934" s="496"/>
    </row>
    <row r="935" spans="12:17" x14ac:dyDescent="0.25">
      <c r="L935" s="496"/>
      <c r="M935" s="496"/>
      <c r="N935" s="496"/>
      <c r="O935" s="496"/>
      <c r="P935" s="496"/>
      <c r="Q935" s="496"/>
    </row>
    <row r="936" spans="12:17" x14ac:dyDescent="0.25">
      <c r="L936" s="496"/>
      <c r="M936" s="496"/>
      <c r="N936" s="496"/>
      <c r="O936" s="496"/>
      <c r="P936" s="496"/>
      <c r="Q936" s="496"/>
    </row>
    <row r="937" spans="12:17" x14ac:dyDescent="0.25">
      <c r="L937" s="496"/>
      <c r="M937" s="496"/>
      <c r="N937" s="496"/>
      <c r="O937" s="496"/>
      <c r="P937" s="496"/>
      <c r="Q937" s="496"/>
    </row>
    <row r="938" spans="12:17" x14ac:dyDescent="0.25">
      <c r="L938" s="496"/>
      <c r="M938" s="496"/>
      <c r="N938" s="496"/>
      <c r="O938" s="496"/>
      <c r="P938" s="496"/>
      <c r="Q938" s="496"/>
    </row>
    <row r="939" spans="12:17" x14ac:dyDescent="0.25">
      <c r="L939" s="496"/>
      <c r="M939" s="496"/>
      <c r="N939" s="496"/>
      <c r="O939" s="496"/>
      <c r="P939" s="496"/>
      <c r="Q939" s="496"/>
    </row>
    <row r="940" spans="12:17" x14ac:dyDescent="0.25">
      <c r="L940" s="496"/>
      <c r="M940" s="496"/>
      <c r="N940" s="496"/>
      <c r="O940" s="496"/>
      <c r="P940" s="496"/>
      <c r="Q940" s="496"/>
    </row>
    <row r="941" spans="12:17" x14ac:dyDescent="0.25">
      <c r="L941" s="496"/>
      <c r="M941" s="496"/>
      <c r="N941" s="496"/>
      <c r="O941" s="496"/>
      <c r="P941" s="496"/>
      <c r="Q941" s="496"/>
    </row>
    <row r="942" spans="12:17" x14ac:dyDescent="0.25">
      <c r="L942" s="496"/>
      <c r="M942" s="496"/>
      <c r="N942" s="496"/>
      <c r="O942" s="496"/>
      <c r="P942" s="496"/>
      <c r="Q942" s="496"/>
    </row>
    <row r="943" spans="12:17" x14ac:dyDescent="0.25">
      <c r="L943" s="496"/>
      <c r="M943" s="496"/>
      <c r="N943" s="496"/>
      <c r="O943" s="496"/>
      <c r="P943" s="496"/>
      <c r="Q943" s="496"/>
    </row>
    <row r="944" spans="12:17" x14ac:dyDescent="0.25">
      <c r="L944" s="496"/>
      <c r="M944" s="496"/>
      <c r="N944" s="496"/>
      <c r="O944" s="496"/>
      <c r="P944" s="496"/>
      <c r="Q944" s="496"/>
    </row>
    <row r="945" spans="12:17" x14ac:dyDescent="0.25">
      <c r="L945" s="496"/>
      <c r="M945" s="496"/>
      <c r="N945" s="496"/>
      <c r="O945" s="496"/>
      <c r="P945" s="496"/>
      <c r="Q945" s="496"/>
    </row>
    <row r="946" spans="12:17" x14ac:dyDescent="0.25">
      <c r="L946" s="496"/>
      <c r="M946" s="496"/>
      <c r="N946" s="496"/>
      <c r="O946" s="496"/>
      <c r="P946" s="496"/>
      <c r="Q946" s="496"/>
    </row>
    <row r="947" spans="12:17" x14ac:dyDescent="0.25">
      <c r="L947" s="496"/>
      <c r="M947" s="496"/>
      <c r="N947" s="496"/>
      <c r="O947" s="496"/>
      <c r="P947" s="496"/>
      <c r="Q947" s="496"/>
    </row>
    <row r="948" spans="12:17" x14ac:dyDescent="0.25">
      <c r="L948" s="496"/>
      <c r="M948" s="496"/>
      <c r="N948" s="496"/>
      <c r="O948" s="496"/>
      <c r="P948" s="496"/>
      <c r="Q948" s="496"/>
    </row>
    <row r="949" spans="12:17" x14ac:dyDescent="0.25">
      <c r="L949" s="496"/>
      <c r="M949" s="496"/>
      <c r="N949" s="496"/>
      <c r="O949" s="496"/>
      <c r="P949" s="496"/>
      <c r="Q949" s="496"/>
    </row>
    <row r="950" spans="12:17" x14ac:dyDescent="0.25">
      <c r="L950" s="496"/>
      <c r="M950" s="496"/>
      <c r="N950" s="496"/>
      <c r="O950" s="496"/>
      <c r="P950" s="496"/>
      <c r="Q950" s="496"/>
    </row>
    <row r="951" spans="12:17" x14ac:dyDescent="0.25">
      <c r="L951" s="496"/>
      <c r="M951" s="496"/>
      <c r="N951" s="496"/>
      <c r="O951" s="496"/>
      <c r="P951" s="496"/>
      <c r="Q951" s="496"/>
    </row>
    <row r="952" spans="12:17" x14ac:dyDescent="0.25">
      <c r="L952" s="496"/>
      <c r="M952" s="496"/>
      <c r="N952" s="496"/>
      <c r="O952" s="496"/>
      <c r="P952" s="496"/>
      <c r="Q952" s="496"/>
    </row>
    <row r="953" spans="12:17" x14ac:dyDescent="0.25">
      <c r="L953" s="496"/>
      <c r="M953" s="496"/>
      <c r="N953" s="496"/>
      <c r="O953" s="496"/>
      <c r="P953" s="496"/>
      <c r="Q953" s="496"/>
    </row>
    <row r="954" spans="12:17" x14ac:dyDescent="0.25">
      <c r="L954" s="496"/>
      <c r="M954" s="496"/>
      <c r="N954" s="496"/>
      <c r="O954" s="496"/>
      <c r="P954" s="496"/>
      <c r="Q954" s="496"/>
    </row>
    <row r="955" spans="12:17" x14ac:dyDescent="0.25">
      <c r="L955" s="496"/>
      <c r="M955" s="496"/>
      <c r="N955" s="496"/>
      <c r="O955" s="496"/>
      <c r="P955" s="496"/>
      <c r="Q955" s="496"/>
    </row>
    <row r="956" spans="12:17" x14ac:dyDescent="0.25">
      <c r="L956" s="496"/>
      <c r="M956" s="496"/>
      <c r="N956" s="496"/>
      <c r="O956" s="496"/>
      <c r="P956" s="496"/>
      <c r="Q956" s="496"/>
    </row>
    <row r="957" spans="12:17" x14ac:dyDescent="0.25">
      <c r="L957" s="496"/>
      <c r="M957" s="496"/>
      <c r="N957" s="496"/>
      <c r="O957" s="496"/>
      <c r="P957" s="496"/>
      <c r="Q957" s="496"/>
    </row>
    <row r="958" spans="12:17" x14ac:dyDescent="0.25">
      <c r="L958" s="496"/>
      <c r="M958" s="496"/>
      <c r="N958" s="496"/>
      <c r="O958" s="496"/>
      <c r="P958" s="496"/>
      <c r="Q958" s="496"/>
    </row>
    <row r="959" spans="12:17" x14ac:dyDescent="0.25">
      <c r="L959" s="496"/>
      <c r="M959" s="496"/>
      <c r="N959" s="496"/>
      <c r="O959" s="496"/>
      <c r="P959" s="496"/>
      <c r="Q959" s="496"/>
    </row>
    <row r="960" spans="12:17" x14ac:dyDescent="0.25">
      <c r="L960" s="496"/>
      <c r="M960" s="496"/>
      <c r="N960" s="496"/>
      <c r="O960" s="496"/>
      <c r="P960" s="496"/>
      <c r="Q960" s="496"/>
    </row>
    <row r="961" spans="12:17" x14ac:dyDescent="0.25">
      <c r="L961" s="496"/>
      <c r="M961" s="496"/>
      <c r="N961" s="496"/>
      <c r="O961" s="496"/>
      <c r="P961" s="496"/>
      <c r="Q961" s="496"/>
    </row>
    <row r="962" spans="12:17" x14ac:dyDescent="0.25">
      <c r="L962" s="496"/>
      <c r="M962" s="496"/>
      <c r="N962" s="496"/>
      <c r="O962" s="496"/>
      <c r="P962" s="496"/>
      <c r="Q962" s="496"/>
    </row>
    <row r="963" spans="12:17" x14ac:dyDescent="0.25">
      <c r="L963" s="496"/>
      <c r="M963" s="496"/>
      <c r="N963" s="496"/>
      <c r="O963" s="496"/>
      <c r="P963" s="496"/>
      <c r="Q963" s="496"/>
    </row>
    <row r="964" spans="12:17" x14ac:dyDescent="0.25">
      <c r="L964" s="496"/>
      <c r="M964" s="496"/>
      <c r="N964" s="496"/>
      <c r="O964" s="496"/>
      <c r="P964" s="496"/>
      <c r="Q964" s="496"/>
    </row>
    <row r="965" spans="12:17" x14ac:dyDescent="0.25">
      <c r="L965" s="496"/>
      <c r="M965" s="496"/>
      <c r="N965" s="496"/>
      <c r="O965" s="496"/>
      <c r="P965" s="496"/>
      <c r="Q965" s="496"/>
    </row>
    <row r="966" spans="12:17" x14ac:dyDescent="0.25">
      <c r="L966" s="496"/>
      <c r="M966" s="496"/>
      <c r="N966" s="496"/>
      <c r="O966" s="496"/>
      <c r="P966" s="496"/>
      <c r="Q966" s="496"/>
    </row>
    <row r="967" spans="12:17" x14ac:dyDescent="0.25">
      <c r="L967" s="496"/>
      <c r="M967" s="496"/>
      <c r="N967" s="496"/>
      <c r="O967" s="496"/>
      <c r="P967" s="496"/>
      <c r="Q967" s="496"/>
    </row>
    <row r="968" spans="12:17" x14ac:dyDescent="0.25">
      <c r="L968" s="496"/>
      <c r="M968" s="496"/>
      <c r="N968" s="496"/>
      <c r="O968" s="496"/>
      <c r="P968" s="496"/>
      <c r="Q968" s="496"/>
    </row>
    <row r="969" spans="12:17" x14ac:dyDescent="0.25">
      <c r="L969" s="496"/>
      <c r="M969" s="496"/>
      <c r="N969" s="496"/>
      <c r="O969" s="496"/>
      <c r="P969" s="496"/>
      <c r="Q969" s="496"/>
    </row>
    <row r="970" spans="12:17" x14ac:dyDescent="0.25">
      <c r="L970" s="496"/>
      <c r="M970" s="496"/>
      <c r="N970" s="496"/>
      <c r="O970" s="496"/>
      <c r="P970" s="496"/>
      <c r="Q970" s="496"/>
    </row>
    <row r="971" spans="12:17" x14ac:dyDescent="0.25">
      <c r="L971" s="496"/>
      <c r="M971" s="496"/>
      <c r="N971" s="496"/>
      <c r="O971" s="496"/>
      <c r="P971" s="496"/>
      <c r="Q971" s="496"/>
    </row>
    <row r="972" spans="12:17" x14ac:dyDescent="0.25">
      <c r="L972" s="496"/>
      <c r="M972" s="496"/>
      <c r="N972" s="496"/>
      <c r="O972" s="496"/>
      <c r="P972" s="496"/>
      <c r="Q972" s="496"/>
    </row>
    <row r="973" spans="12:17" x14ac:dyDescent="0.25">
      <c r="L973" s="496"/>
      <c r="M973" s="496"/>
      <c r="N973" s="496"/>
      <c r="O973" s="496"/>
      <c r="P973" s="496"/>
      <c r="Q973" s="496"/>
    </row>
    <row r="974" spans="12:17" x14ac:dyDescent="0.25">
      <c r="L974" s="496"/>
      <c r="M974" s="496"/>
      <c r="N974" s="496"/>
      <c r="O974" s="496"/>
      <c r="P974" s="496"/>
      <c r="Q974" s="496"/>
    </row>
    <row r="975" spans="12:17" x14ac:dyDescent="0.25">
      <c r="L975" s="496"/>
      <c r="M975" s="496"/>
      <c r="N975" s="496"/>
      <c r="O975" s="496"/>
      <c r="P975" s="496"/>
      <c r="Q975" s="496"/>
    </row>
    <row r="976" spans="12:17" x14ac:dyDescent="0.25">
      <c r="L976" s="496"/>
      <c r="M976" s="496"/>
      <c r="N976" s="496"/>
      <c r="O976" s="496"/>
      <c r="P976" s="496"/>
      <c r="Q976" s="496"/>
    </row>
    <row r="977" spans="12:17" x14ac:dyDescent="0.25">
      <c r="L977" s="496"/>
      <c r="M977" s="496"/>
      <c r="N977" s="496"/>
      <c r="O977" s="496"/>
      <c r="P977" s="496"/>
      <c r="Q977" s="496"/>
    </row>
    <row r="978" spans="12:17" x14ac:dyDescent="0.25">
      <c r="L978" s="496"/>
      <c r="M978" s="496"/>
      <c r="N978" s="496"/>
      <c r="O978" s="496"/>
      <c r="P978" s="496"/>
      <c r="Q978" s="496"/>
    </row>
    <row r="979" spans="12:17" x14ac:dyDescent="0.25">
      <c r="L979" s="496"/>
      <c r="M979" s="496"/>
      <c r="N979" s="496"/>
      <c r="O979" s="496"/>
      <c r="P979" s="496"/>
      <c r="Q979" s="496"/>
    </row>
    <row r="980" spans="12:17" x14ac:dyDescent="0.25">
      <c r="L980" s="496"/>
      <c r="M980" s="496"/>
      <c r="N980" s="496"/>
      <c r="O980" s="496"/>
      <c r="P980" s="496"/>
      <c r="Q980" s="496"/>
    </row>
    <row r="981" spans="12:17" x14ac:dyDescent="0.25">
      <c r="L981" s="496"/>
      <c r="M981" s="496"/>
      <c r="N981" s="496"/>
      <c r="O981" s="496"/>
      <c r="P981" s="496"/>
      <c r="Q981" s="496"/>
    </row>
    <row r="982" spans="12:17" x14ac:dyDescent="0.25">
      <c r="L982" s="496"/>
      <c r="M982" s="496"/>
      <c r="N982" s="496"/>
      <c r="O982" s="496"/>
      <c r="P982" s="496"/>
      <c r="Q982" s="496"/>
    </row>
    <row r="983" spans="12:17" x14ac:dyDescent="0.25">
      <c r="L983" s="496"/>
      <c r="M983" s="496"/>
      <c r="N983" s="496"/>
      <c r="O983" s="496"/>
      <c r="P983" s="496"/>
      <c r="Q983" s="496"/>
    </row>
    <row r="984" spans="12:17" x14ac:dyDescent="0.25">
      <c r="L984" s="496"/>
      <c r="M984" s="496"/>
      <c r="N984" s="496"/>
      <c r="O984" s="496"/>
      <c r="P984" s="496"/>
      <c r="Q984" s="496"/>
    </row>
    <row r="985" spans="12:17" x14ac:dyDescent="0.25">
      <c r="L985" s="496"/>
      <c r="M985" s="496"/>
      <c r="N985" s="496"/>
      <c r="O985" s="496"/>
      <c r="P985" s="496"/>
      <c r="Q985" s="496"/>
    </row>
    <row r="986" spans="12:17" x14ac:dyDescent="0.25">
      <c r="L986" s="496"/>
      <c r="M986" s="496"/>
      <c r="N986" s="496"/>
      <c r="O986" s="496"/>
      <c r="P986" s="496"/>
      <c r="Q986" s="496"/>
    </row>
    <row r="987" spans="12:17" x14ac:dyDescent="0.25">
      <c r="L987" s="496"/>
      <c r="M987" s="496"/>
      <c r="N987" s="496"/>
      <c r="O987" s="496"/>
      <c r="P987" s="496"/>
      <c r="Q987" s="496"/>
    </row>
    <row r="988" spans="12:17" x14ac:dyDescent="0.25">
      <c r="L988" s="496"/>
      <c r="M988" s="496"/>
      <c r="N988" s="496"/>
      <c r="O988" s="496"/>
      <c r="P988" s="496"/>
      <c r="Q988" s="496"/>
    </row>
    <row r="989" spans="12:17" x14ac:dyDescent="0.25">
      <c r="L989" s="496"/>
      <c r="M989" s="496"/>
      <c r="N989" s="496"/>
      <c r="O989" s="496"/>
      <c r="P989" s="496"/>
      <c r="Q989" s="496"/>
    </row>
    <row r="990" spans="12:17" x14ac:dyDescent="0.25">
      <c r="L990" s="496"/>
      <c r="M990" s="496"/>
      <c r="N990" s="496"/>
      <c r="O990" s="496"/>
      <c r="P990" s="496"/>
      <c r="Q990" s="496"/>
    </row>
    <row r="991" spans="12:17" x14ac:dyDescent="0.25">
      <c r="L991" s="496"/>
      <c r="M991" s="496"/>
      <c r="N991" s="496"/>
      <c r="O991" s="496"/>
      <c r="P991" s="496"/>
      <c r="Q991" s="496"/>
    </row>
    <row r="992" spans="12:17" x14ac:dyDescent="0.25">
      <c r="L992" s="496"/>
      <c r="M992" s="496"/>
      <c r="N992" s="496"/>
      <c r="O992" s="496"/>
      <c r="P992" s="496"/>
      <c r="Q992" s="496"/>
    </row>
    <row r="993" spans="12:17" x14ac:dyDescent="0.25">
      <c r="L993" s="496"/>
      <c r="M993" s="496"/>
      <c r="N993" s="496"/>
      <c r="O993" s="496"/>
      <c r="P993" s="496"/>
      <c r="Q993" s="496"/>
    </row>
    <row r="994" spans="12:17" x14ac:dyDescent="0.25">
      <c r="L994" s="496"/>
      <c r="M994" s="496"/>
      <c r="N994" s="496"/>
      <c r="O994" s="496"/>
      <c r="P994" s="496"/>
      <c r="Q994" s="496"/>
    </row>
    <row r="995" spans="12:17" x14ac:dyDescent="0.25">
      <c r="L995" s="496"/>
      <c r="M995" s="496"/>
      <c r="N995" s="496"/>
      <c r="O995" s="496"/>
      <c r="P995" s="496"/>
      <c r="Q995" s="496"/>
    </row>
    <row r="996" spans="12:17" x14ac:dyDescent="0.25">
      <c r="L996" s="496"/>
      <c r="M996" s="496"/>
      <c r="N996" s="496"/>
      <c r="O996" s="496"/>
      <c r="P996" s="496"/>
      <c r="Q996" s="496"/>
    </row>
    <row r="997" spans="12:17" x14ac:dyDescent="0.25">
      <c r="L997" s="496"/>
      <c r="M997" s="496"/>
      <c r="N997" s="496"/>
      <c r="O997" s="496"/>
      <c r="P997" s="496"/>
      <c r="Q997" s="496"/>
    </row>
    <row r="998" spans="12:17" x14ac:dyDescent="0.25">
      <c r="L998" s="496"/>
      <c r="M998" s="496"/>
      <c r="N998" s="496"/>
      <c r="O998" s="496"/>
      <c r="P998" s="496"/>
      <c r="Q998" s="496"/>
    </row>
    <row r="999" spans="12:17" x14ac:dyDescent="0.25">
      <c r="L999" s="496"/>
      <c r="M999" s="496"/>
      <c r="N999" s="496"/>
      <c r="O999" s="496"/>
      <c r="P999" s="496"/>
      <c r="Q999" s="496"/>
    </row>
    <row r="1000" spans="12:17" x14ac:dyDescent="0.25">
      <c r="L1000" s="496"/>
      <c r="M1000" s="496"/>
      <c r="N1000" s="496"/>
      <c r="O1000" s="496"/>
      <c r="P1000" s="496"/>
      <c r="Q1000" s="496"/>
    </row>
    <row r="1001" spans="12:17" x14ac:dyDescent="0.25">
      <c r="L1001" s="496"/>
      <c r="M1001" s="496"/>
      <c r="N1001" s="496"/>
      <c r="O1001" s="496"/>
      <c r="P1001" s="496"/>
      <c r="Q1001" s="496"/>
    </row>
    <row r="1002" spans="12:17" x14ac:dyDescent="0.25">
      <c r="L1002" s="496"/>
      <c r="M1002" s="496"/>
      <c r="N1002" s="496"/>
      <c r="O1002" s="496"/>
      <c r="P1002" s="496"/>
      <c r="Q1002" s="496"/>
    </row>
    <row r="1003" spans="12:17" x14ac:dyDescent="0.25">
      <c r="L1003" s="496"/>
      <c r="M1003" s="496"/>
      <c r="N1003" s="496"/>
      <c r="O1003" s="496"/>
      <c r="P1003" s="496"/>
      <c r="Q1003" s="496"/>
    </row>
    <row r="1004" spans="12:17" x14ac:dyDescent="0.25">
      <c r="L1004" s="496"/>
      <c r="M1004" s="496"/>
      <c r="N1004" s="496"/>
      <c r="O1004" s="496"/>
      <c r="P1004" s="496"/>
      <c r="Q1004" s="496"/>
    </row>
    <row r="1005" spans="12:17" x14ac:dyDescent="0.25">
      <c r="L1005" s="496"/>
      <c r="M1005" s="496"/>
      <c r="N1005" s="496"/>
      <c r="O1005" s="496"/>
      <c r="P1005" s="496"/>
      <c r="Q1005" s="496"/>
    </row>
    <row r="1006" spans="12:17" x14ac:dyDescent="0.25">
      <c r="L1006" s="496"/>
      <c r="M1006" s="496"/>
      <c r="N1006" s="496"/>
      <c r="O1006" s="496"/>
      <c r="P1006" s="496"/>
      <c r="Q1006" s="496"/>
    </row>
    <row r="1007" spans="12:17" x14ac:dyDescent="0.25">
      <c r="L1007" s="496"/>
      <c r="M1007" s="496"/>
      <c r="N1007" s="496"/>
      <c r="O1007" s="496"/>
      <c r="P1007" s="496"/>
      <c r="Q1007" s="496"/>
    </row>
    <row r="1008" spans="12:17" x14ac:dyDescent="0.25">
      <c r="L1008" s="496"/>
      <c r="M1008" s="496"/>
      <c r="N1008" s="496"/>
      <c r="O1008" s="496"/>
      <c r="P1008" s="496"/>
      <c r="Q1008" s="496"/>
    </row>
    <row r="1009" spans="12:17" x14ac:dyDescent="0.25">
      <c r="L1009" s="496"/>
      <c r="M1009" s="496"/>
      <c r="N1009" s="496"/>
      <c r="O1009" s="496"/>
      <c r="P1009" s="496"/>
      <c r="Q1009" s="496"/>
    </row>
    <row r="1010" spans="12:17" x14ac:dyDescent="0.25">
      <c r="L1010" s="496"/>
      <c r="M1010" s="496"/>
      <c r="N1010" s="496"/>
      <c r="O1010" s="496"/>
      <c r="P1010" s="496"/>
      <c r="Q1010" s="496"/>
    </row>
    <row r="1011" spans="12:17" x14ac:dyDescent="0.25">
      <c r="L1011" s="496"/>
      <c r="M1011" s="496"/>
      <c r="N1011" s="496"/>
      <c r="O1011" s="496"/>
      <c r="P1011" s="496"/>
      <c r="Q1011" s="496"/>
    </row>
    <row r="1012" spans="12:17" x14ac:dyDescent="0.25">
      <c r="L1012" s="496"/>
      <c r="M1012" s="496"/>
      <c r="N1012" s="496"/>
      <c r="O1012" s="496"/>
      <c r="P1012" s="496"/>
      <c r="Q1012" s="496"/>
    </row>
    <row r="1013" spans="12:17" x14ac:dyDescent="0.25">
      <c r="L1013" s="496"/>
      <c r="M1013" s="496"/>
      <c r="N1013" s="496"/>
      <c r="O1013" s="496"/>
      <c r="P1013" s="496"/>
      <c r="Q1013" s="496"/>
    </row>
    <row r="1014" spans="12:17" x14ac:dyDescent="0.25">
      <c r="L1014" s="496"/>
      <c r="M1014" s="496"/>
      <c r="N1014" s="496"/>
      <c r="O1014" s="496"/>
      <c r="P1014" s="496"/>
      <c r="Q1014" s="496"/>
    </row>
    <row r="1015" spans="12:17" x14ac:dyDescent="0.25">
      <c r="L1015" s="496"/>
      <c r="M1015" s="496"/>
      <c r="N1015" s="496"/>
      <c r="O1015" s="496"/>
      <c r="P1015" s="496"/>
      <c r="Q1015" s="496"/>
    </row>
    <row r="1016" spans="12:17" x14ac:dyDescent="0.25">
      <c r="L1016" s="496"/>
      <c r="M1016" s="496"/>
      <c r="N1016" s="496"/>
      <c r="O1016" s="496"/>
      <c r="P1016" s="496"/>
      <c r="Q1016" s="496"/>
    </row>
    <row r="1017" spans="12:17" x14ac:dyDescent="0.25">
      <c r="L1017" s="496"/>
      <c r="M1017" s="496"/>
      <c r="N1017" s="496"/>
      <c r="O1017" s="496"/>
      <c r="P1017" s="496"/>
      <c r="Q1017" s="496"/>
    </row>
    <row r="1018" spans="12:17" x14ac:dyDescent="0.25">
      <c r="L1018" s="496"/>
      <c r="M1018" s="496"/>
      <c r="N1018" s="496"/>
      <c r="O1018" s="496"/>
      <c r="P1018" s="496"/>
      <c r="Q1018" s="496"/>
    </row>
    <row r="1019" spans="12:17" x14ac:dyDescent="0.25">
      <c r="L1019" s="496"/>
      <c r="M1019" s="496"/>
      <c r="N1019" s="496"/>
      <c r="O1019" s="496"/>
      <c r="P1019" s="496"/>
      <c r="Q1019" s="496"/>
    </row>
    <row r="1020" spans="12:17" x14ac:dyDescent="0.25">
      <c r="L1020" s="496"/>
      <c r="M1020" s="496"/>
      <c r="N1020" s="496"/>
      <c r="O1020" s="496"/>
      <c r="P1020" s="496"/>
      <c r="Q1020" s="496"/>
    </row>
    <row r="1021" spans="12:17" x14ac:dyDescent="0.25">
      <c r="L1021" s="496"/>
      <c r="M1021" s="496"/>
      <c r="N1021" s="496"/>
      <c r="O1021" s="496"/>
      <c r="P1021" s="496"/>
      <c r="Q1021" s="496"/>
    </row>
    <row r="1022" spans="12:17" x14ac:dyDescent="0.25">
      <c r="L1022" s="496"/>
      <c r="M1022" s="496"/>
      <c r="N1022" s="496"/>
      <c r="O1022" s="496"/>
      <c r="P1022" s="496"/>
      <c r="Q1022" s="496"/>
    </row>
    <row r="1023" spans="12:17" x14ac:dyDescent="0.25">
      <c r="L1023" s="496"/>
      <c r="M1023" s="496"/>
      <c r="N1023" s="496"/>
      <c r="O1023" s="496"/>
      <c r="P1023" s="496"/>
      <c r="Q1023" s="496"/>
    </row>
    <row r="1024" spans="12:17" x14ac:dyDescent="0.25">
      <c r="L1024" s="496"/>
      <c r="M1024" s="496"/>
      <c r="N1024" s="496"/>
      <c r="O1024" s="496"/>
      <c r="P1024" s="496"/>
      <c r="Q1024" s="496"/>
    </row>
    <row r="1025" spans="12:17" x14ac:dyDescent="0.25">
      <c r="L1025" s="496"/>
      <c r="M1025" s="496"/>
      <c r="N1025" s="496"/>
      <c r="O1025" s="496"/>
      <c r="P1025" s="496"/>
      <c r="Q1025" s="496"/>
    </row>
    <row r="1026" spans="12:17" x14ac:dyDescent="0.25">
      <c r="L1026" s="496"/>
      <c r="M1026" s="496"/>
      <c r="N1026" s="496"/>
      <c r="O1026" s="496"/>
      <c r="P1026" s="496"/>
      <c r="Q1026" s="496"/>
    </row>
    <row r="1027" spans="12:17" x14ac:dyDescent="0.25">
      <c r="L1027" s="496"/>
      <c r="M1027" s="496"/>
      <c r="N1027" s="496"/>
      <c r="O1027" s="496"/>
      <c r="P1027" s="496"/>
      <c r="Q1027" s="496"/>
    </row>
    <row r="1028" spans="12:17" x14ac:dyDescent="0.25">
      <c r="L1028" s="496"/>
      <c r="M1028" s="496"/>
      <c r="N1028" s="496"/>
      <c r="O1028" s="496"/>
      <c r="P1028" s="496"/>
      <c r="Q1028" s="496"/>
    </row>
    <row r="1029" spans="12:17" x14ac:dyDescent="0.25">
      <c r="L1029" s="496"/>
      <c r="M1029" s="496"/>
      <c r="N1029" s="496"/>
      <c r="O1029" s="496"/>
      <c r="P1029" s="496"/>
      <c r="Q1029" s="496"/>
    </row>
    <row r="1030" spans="12:17" x14ac:dyDescent="0.25">
      <c r="L1030" s="496"/>
      <c r="M1030" s="496"/>
      <c r="N1030" s="496"/>
      <c r="O1030" s="496"/>
      <c r="P1030" s="496"/>
      <c r="Q1030" s="496"/>
    </row>
    <row r="1031" spans="12:17" x14ac:dyDescent="0.25">
      <c r="L1031" s="496"/>
      <c r="M1031" s="496"/>
      <c r="N1031" s="496"/>
      <c r="O1031" s="496"/>
      <c r="P1031" s="496"/>
      <c r="Q1031" s="496"/>
    </row>
    <row r="1032" spans="12:17" x14ac:dyDescent="0.25">
      <c r="L1032" s="496"/>
      <c r="M1032" s="496"/>
      <c r="N1032" s="496"/>
      <c r="O1032" s="496"/>
      <c r="P1032" s="496"/>
      <c r="Q1032" s="496"/>
    </row>
    <row r="1033" spans="12:17" x14ac:dyDescent="0.25">
      <c r="L1033" s="496"/>
      <c r="M1033" s="496"/>
      <c r="N1033" s="496"/>
      <c r="O1033" s="496"/>
      <c r="P1033" s="496"/>
      <c r="Q1033" s="496"/>
    </row>
    <row r="1034" spans="12:17" x14ac:dyDescent="0.25">
      <c r="L1034" s="496"/>
      <c r="M1034" s="496"/>
      <c r="N1034" s="496"/>
      <c r="O1034" s="496"/>
      <c r="P1034" s="496"/>
      <c r="Q1034" s="496"/>
    </row>
    <row r="1035" spans="12:17" x14ac:dyDescent="0.25">
      <c r="L1035" s="496"/>
      <c r="M1035" s="496"/>
      <c r="N1035" s="496"/>
      <c r="O1035" s="496"/>
      <c r="P1035" s="496"/>
      <c r="Q1035" s="496"/>
    </row>
    <row r="1036" spans="12:17" x14ac:dyDescent="0.25">
      <c r="L1036" s="496"/>
      <c r="M1036" s="496"/>
      <c r="N1036" s="496"/>
      <c r="O1036" s="496"/>
      <c r="P1036" s="496"/>
      <c r="Q1036" s="496"/>
    </row>
    <row r="1037" spans="12:17" x14ac:dyDescent="0.25">
      <c r="L1037" s="496"/>
      <c r="M1037" s="496"/>
      <c r="N1037" s="496"/>
      <c r="O1037" s="496"/>
      <c r="P1037" s="496"/>
      <c r="Q1037" s="496"/>
    </row>
    <row r="1038" spans="12:17" x14ac:dyDescent="0.25">
      <c r="L1038" s="496"/>
      <c r="M1038" s="496"/>
      <c r="N1038" s="496"/>
      <c r="O1038" s="496"/>
      <c r="P1038" s="496"/>
      <c r="Q1038" s="496"/>
    </row>
    <row r="1039" spans="12:17" x14ac:dyDescent="0.25">
      <c r="L1039" s="496"/>
      <c r="M1039" s="496"/>
      <c r="N1039" s="496"/>
      <c r="O1039" s="496"/>
      <c r="P1039" s="496"/>
      <c r="Q1039" s="496"/>
    </row>
    <row r="1040" spans="12:17" x14ac:dyDescent="0.25">
      <c r="L1040" s="496"/>
      <c r="M1040" s="496"/>
      <c r="N1040" s="496"/>
      <c r="O1040" s="496"/>
      <c r="P1040" s="496"/>
      <c r="Q1040" s="496"/>
    </row>
    <row r="1041" spans="12:17" x14ac:dyDescent="0.25">
      <c r="L1041" s="496"/>
      <c r="M1041" s="496"/>
      <c r="N1041" s="496"/>
      <c r="O1041" s="496"/>
      <c r="P1041" s="496"/>
      <c r="Q1041" s="496"/>
    </row>
    <row r="1042" spans="12:17" x14ac:dyDescent="0.25">
      <c r="L1042" s="496"/>
      <c r="M1042" s="496"/>
      <c r="N1042" s="496"/>
      <c r="O1042" s="496"/>
      <c r="P1042" s="496"/>
      <c r="Q1042" s="496"/>
    </row>
    <row r="1043" spans="12:17" x14ac:dyDescent="0.25">
      <c r="L1043" s="496"/>
      <c r="M1043" s="496"/>
      <c r="N1043" s="496"/>
      <c r="O1043" s="496"/>
      <c r="P1043" s="496"/>
      <c r="Q1043" s="496"/>
    </row>
    <row r="1044" spans="12:17" x14ac:dyDescent="0.25">
      <c r="L1044" s="496"/>
      <c r="M1044" s="496"/>
      <c r="N1044" s="496"/>
      <c r="O1044" s="496"/>
      <c r="P1044" s="496"/>
      <c r="Q1044" s="496"/>
    </row>
    <row r="1045" spans="12:17" x14ac:dyDescent="0.25">
      <c r="L1045" s="496"/>
      <c r="M1045" s="496"/>
      <c r="N1045" s="496"/>
      <c r="O1045" s="496"/>
      <c r="P1045" s="496"/>
      <c r="Q1045" s="496"/>
    </row>
    <row r="1046" spans="12:17" x14ac:dyDescent="0.25">
      <c r="L1046" s="496"/>
      <c r="M1046" s="496"/>
      <c r="N1046" s="496"/>
      <c r="O1046" s="496"/>
      <c r="P1046" s="496"/>
      <c r="Q1046" s="496"/>
    </row>
    <row r="1047" spans="12:17" x14ac:dyDescent="0.25">
      <c r="L1047" s="496"/>
      <c r="M1047" s="496"/>
      <c r="N1047" s="496"/>
      <c r="O1047" s="496"/>
      <c r="P1047" s="496"/>
      <c r="Q1047" s="496"/>
    </row>
    <row r="1048" spans="12:17" x14ac:dyDescent="0.25">
      <c r="L1048" s="496"/>
      <c r="M1048" s="496"/>
      <c r="N1048" s="496"/>
      <c r="O1048" s="496"/>
      <c r="P1048" s="496"/>
      <c r="Q1048" s="496"/>
    </row>
    <row r="1049" spans="12:17" x14ac:dyDescent="0.25">
      <c r="L1049" s="496"/>
      <c r="M1049" s="496"/>
      <c r="N1049" s="496"/>
      <c r="O1049" s="496"/>
      <c r="P1049" s="496"/>
      <c r="Q1049" s="496"/>
    </row>
    <row r="1050" spans="12:17" x14ac:dyDescent="0.25">
      <c r="L1050" s="496"/>
      <c r="M1050" s="496"/>
      <c r="N1050" s="496"/>
      <c r="O1050" s="496"/>
      <c r="P1050" s="496"/>
      <c r="Q1050" s="496"/>
    </row>
    <row r="1051" spans="12:17" x14ac:dyDescent="0.25">
      <c r="L1051" s="496"/>
      <c r="M1051" s="496"/>
      <c r="N1051" s="496"/>
      <c r="O1051" s="496"/>
      <c r="P1051" s="496"/>
      <c r="Q1051" s="496"/>
    </row>
    <row r="1052" spans="12:17" x14ac:dyDescent="0.25">
      <c r="L1052" s="496"/>
      <c r="M1052" s="496"/>
      <c r="N1052" s="496"/>
      <c r="O1052" s="496"/>
      <c r="P1052" s="496"/>
      <c r="Q1052" s="496"/>
    </row>
    <row r="1053" spans="12:17" x14ac:dyDescent="0.25">
      <c r="L1053" s="496"/>
      <c r="M1053" s="496"/>
      <c r="N1053" s="496"/>
      <c r="O1053" s="496"/>
      <c r="P1053" s="496"/>
      <c r="Q1053" s="496"/>
    </row>
    <row r="1054" spans="12:17" x14ac:dyDescent="0.25">
      <c r="L1054" s="496"/>
      <c r="M1054" s="496"/>
      <c r="N1054" s="496"/>
      <c r="O1054" s="496"/>
      <c r="P1054" s="496"/>
      <c r="Q1054" s="496"/>
    </row>
    <row r="1055" spans="12:17" x14ac:dyDescent="0.25">
      <c r="L1055" s="496"/>
      <c r="M1055" s="496"/>
      <c r="N1055" s="496"/>
      <c r="O1055" s="496"/>
      <c r="P1055" s="496"/>
      <c r="Q1055" s="496"/>
    </row>
    <row r="1056" spans="12:17" x14ac:dyDescent="0.25">
      <c r="L1056" s="496"/>
      <c r="M1056" s="496"/>
      <c r="N1056" s="496"/>
      <c r="O1056" s="496"/>
      <c r="P1056" s="496"/>
      <c r="Q1056" s="496"/>
    </row>
    <row r="1057" spans="12:17" x14ac:dyDescent="0.25">
      <c r="L1057" s="496"/>
      <c r="M1057" s="496"/>
      <c r="N1057" s="496"/>
      <c r="O1057" s="496"/>
      <c r="P1057" s="496"/>
      <c r="Q1057" s="496"/>
    </row>
    <row r="1058" spans="12:17" x14ac:dyDescent="0.25">
      <c r="L1058" s="496"/>
      <c r="M1058" s="496"/>
      <c r="N1058" s="496"/>
      <c r="O1058" s="496"/>
      <c r="P1058" s="496"/>
      <c r="Q1058" s="496"/>
    </row>
    <row r="1059" spans="12:17" x14ac:dyDescent="0.25">
      <c r="L1059" s="496"/>
      <c r="M1059" s="496"/>
      <c r="N1059" s="496"/>
      <c r="O1059" s="496"/>
      <c r="P1059" s="496"/>
      <c r="Q1059" s="496"/>
    </row>
    <row r="1060" spans="12:17" x14ac:dyDescent="0.25">
      <c r="L1060" s="496"/>
      <c r="M1060" s="496"/>
      <c r="N1060" s="496"/>
      <c r="O1060" s="496"/>
      <c r="P1060" s="496"/>
      <c r="Q1060" s="496"/>
    </row>
    <row r="1061" spans="12:17" x14ac:dyDescent="0.25">
      <c r="L1061" s="496"/>
      <c r="M1061" s="496"/>
      <c r="N1061" s="496"/>
      <c r="O1061" s="496"/>
      <c r="P1061" s="496"/>
      <c r="Q1061" s="496"/>
    </row>
    <row r="1062" spans="12:17" x14ac:dyDescent="0.25">
      <c r="L1062" s="496"/>
      <c r="M1062" s="496"/>
      <c r="N1062" s="496"/>
      <c r="O1062" s="496"/>
      <c r="P1062" s="496"/>
      <c r="Q1062" s="496"/>
    </row>
    <row r="1063" spans="12:17" x14ac:dyDescent="0.25">
      <c r="L1063" s="496"/>
      <c r="M1063" s="496"/>
      <c r="N1063" s="496"/>
      <c r="O1063" s="496"/>
      <c r="P1063" s="496"/>
      <c r="Q1063" s="496"/>
    </row>
    <row r="1064" spans="12:17" x14ac:dyDescent="0.25">
      <c r="L1064" s="496"/>
      <c r="M1064" s="496"/>
      <c r="N1064" s="496"/>
      <c r="O1064" s="496"/>
      <c r="P1064" s="496"/>
      <c r="Q1064" s="496"/>
    </row>
    <row r="1065" spans="12:17" x14ac:dyDescent="0.25">
      <c r="L1065" s="496"/>
      <c r="M1065" s="496"/>
      <c r="N1065" s="496"/>
      <c r="O1065" s="496"/>
      <c r="P1065" s="496"/>
      <c r="Q1065" s="496"/>
    </row>
    <row r="1066" spans="12:17" x14ac:dyDescent="0.25">
      <c r="L1066" s="496"/>
      <c r="M1066" s="496"/>
      <c r="N1066" s="496"/>
      <c r="O1066" s="496"/>
      <c r="P1066" s="496"/>
      <c r="Q1066" s="496"/>
    </row>
    <row r="1067" spans="12:17" x14ac:dyDescent="0.25">
      <c r="L1067" s="496"/>
      <c r="M1067" s="496"/>
      <c r="N1067" s="496"/>
      <c r="O1067" s="496"/>
      <c r="P1067" s="496"/>
      <c r="Q1067" s="496"/>
    </row>
    <row r="1068" spans="12:17" x14ac:dyDescent="0.25">
      <c r="L1068" s="496"/>
      <c r="M1068" s="496"/>
      <c r="N1068" s="496"/>
      <c r="O1068" s="496"/>
      <c r="P1068" s="496"/>
      <c r="Q1068" s="496"/>
    </row>
    <row r="1069" spans="12:17" x14ac:dyDescent="0.25">
      <c r="L1069" s="496"/>
      <c r="M1069" s="496"/>
      <c r="N1069" s="496"/>
      <c r="O1069" s="496"/>
      <c r="P1069" s="496"/>
      <c r="Q1069" s="496"/>
    </row>
    <row r="1070" spans="12:17" x14ac:dyDescent="0.25">
      <c r="L1070" s="496"/>
      <c r="M1070" s="496"/>
      <c r="N1070" s="496"/>
      <c r="O1070" s="496"/>
      <c r="P1070" s="496"/>
      <c r="Q1070" s="496"/>
    </row>
    <row r="1071" spans="12:17" x14ac:dyDescent="0.25">
      <c r="L1071" s="496"/>
      <c r="M1071" s="496"/>
      <c r="N1071" s="496"/>
      <c r="O1071" s="496"/>
      <c r="P1071" s="496"/>
      <c r="Q1071" s="496"/>
    </row>
    <row r="1072" spans="12:17" x14ac:dyDescent="0.25">
      <c r="L1072" s="496"/>
      <c r="M1072" s="496"/>
      <c r="N1072" s="496"/>
      <c r="O1072" s="496"/>
      <c r="P1072" s="496"/>
      <c r="Q1072" s="496"/>
    </row>
    <row r="1073" spans="12:17" x14ac:dyDescent="0.25">
      <c r="L1073" s="496"/>
      <c r="M1073" s="496"/>
      <c r="N1073" s="496"/>
      <c r="O1073" s="496"/>
      <c r="P1073" s="496"/>
      <c r="Q1073" s="496"/>
    </row>
    <row r="1074" spans="12:17" x14ac:dyDescent="0.25">
      <c r="L1074" s="496"/>
      <c r="M1074" s="496"/>
      <c r="N1074" s="496"/>
      <c r="O1074" s="496"/>
      <c r="P1074" s="496"/>
      <c r="Q1074" s="496"/>
    </row>
    <row r="1075" spans="12:17" x14ac:dyDescent="0.25">
      <c r="L1075" s="496"/>
      <c r="M1075" s="496"/>
      <c r="N1075" s="496"/>
      <c r="O1075" s="496"/>
      <c r="P1075" s="496"/>
      <c r="Q1075" s="496"/>
    </row>
    <row r="1076" spans="12:17" x14ac:dyDescent="0.25">
      <c r="L1076" s="496"/>
      <c r="M1076" s="496"/>
      <c r="N1076" s="496"/>
      <c r="O1076" s="496"/>
      <c r="P1076" s="496"/>
      <c r="Q1076" s="496"/>
    </row>
    <row r="1077" spans="12:17" x14ac:dyDescent="0.25">
      <c r="L1077" s="496"/>
      <c r="M1077" s="496"/>
      <c r="N1077" s="496"/>
      <c r="O1077" s="496"/>
      <c r="P1077" s="496"/>
      <c r="Q1077" s="496"/>
    </row>
    <row r="1078" spans="12:17" x14ac:dyDescent="0.25">
      <c r="L1078" s="496"/>
      <c r="M1078" s="496"/>
      <c r="N1078" s="496"/>
      <c r="O1078" s="496"/>
      <c r="P1078" s="496"/>
      <c r="Q1078" s="496"/>
    </row>
    <row r="1079" spans="12:17" x14ac:dyDescent="0.25">
      <c r="L1079" s="496"/>
      <c r="M1079" s="496"/>
      <c r="N1079" s="496"/>
      <c r="O1079" s="496"/>
      <c r="P1079" s="496"/>
      <c r="Q1079" s="496"/>
    </row>
    <row r="1080" spans="12:17" x14ac:dyDescent="0.25">
      <c r="L1080" s="496"/>
      <c r="M1080" s="496"/>
      <c r="N1080" s="496"/>
      <c r="O1080" s="496"/>
      <c r="P1080" s="496"/>
      <c r="Q1080" s="496"/>
    </row>
    <row r="1081" spans="12:17" x14ac:dyDescent="0.25">
      <c r="L1081" s="496"/>
      <c r="M1081" s="496"/>
      <c r="N1081" s="496"/>
      <c r="O1081" s="496"/>
      <c r="P1081" s="496"/>
      <c r="Q1081" s="496"/>
    </row>
    <row r="1082" spans="12:17" x14ac:dyDescent="0.25">
      <c r="Q1082" s="496"/>
    </row>
    <row r="1083" spans="12:17" x14ac:dyDescent="0.25">
      <c r="Q1083" s="496"/>
    </row>
    <row r="1084" spans="12:17" x14ac:dyDescent="0.25">
      <c r="Q1084" s="496"/>
    </row>
    <row r="1085" spans="12:17" x14ac:dyDescent="0.25">
      <c r="Q1085" s="496"/>
    </row>
    <row r="1086" spans="12:17" x14ac:dyDescent="0.25">
      <c r="Q1086" s="496"/>
    </row>
    <row r="1087" spans="12:17" x14ac:dyDescent="0.25">
      <c r="Q1087" s="496"/>
    </row>
    <row r="1088" spans="12:17" x14ac:dyDescent="0.25">
      <c r="Q1088" s="496"/>
    </row>
    <row r="1089" spans="17:17" x14ac:dyDescent="0.25">
      <c r="Q1089" s="496"/>
    </row>
    <row r="1090" spans="17:17" x14ac:dyDescent="0.25">
      <c r="Q1090" s="496"/>
    </row>
    <row r="1091" spans="17:17" x14ac:dyDescent="0.25">
      <c r="Q1091" s="496"/>
    </row>
    <row r="1092" spans="17:17" x14ac:dyDescent="0.25">
      <c r="Q1092" s="496"/>
    </row>
    <row r="1093" spans="17:17" x14ac:dyDescent="0.25">
      <c r="Q1093" s="496"/>
    </row>
    <row r="1094" spans="17:17" x14ac:dyDescent="0.25">
      <c r="Q1094" s="496"/>
    </row>
    <row r="1095" spans="17:17" x14ac:dyDescent="0.25">
      <c r="Q1095" s="496"/>
    </row>
    <row r="1096" spans="17:17" x14ac:dyDescent="0.25">
      <c r="Q1096" s="496"/>
    </row>
    <row r="1097" spans="17:17" x14ac:dyDescent="0.25">
      <c r="Q1097" s="496"/>
    </row>
  </sheetData>
  <sheetProtection algorithmName="SHA-512" hashValue="mjMoX6T2d09+eXHrB/tNChMMkc3AiMg2fM43LkGDA9dMB00Bm/QuTFYNNGCF3Fg2ggu3pY1U4D5hYBIR5YWvAw==" saltValue="CDoalQ23Dl9BkSa02A91sA==" spinCount="100000" sheet="1" objects="1" scenarios="1"/>
  <sortState xmlns:xlrd2="http://schemas.microsoft.com/office/spreadsheetml/2017/richdata2" ref="K330:R584">
    <sortCondition ref="M330:M588"/>
  </sortState>
  <mergeCells count="126">
    <mergeCell ref="K70:L70"/>
    <mergeCell ref="E284:E286"/>
    <mergeCell ref="E287:E289"/>
    <mergeCell ref="E292:E293"/>
    <mergeCell ref="G292:H292"/>
    <mergeCell ref="E294:E296"/>
    <mergeCell ref="E271:E273"/>
    <mergeCell ref="E274:E276"/>
    <mergeCell ref="E279:E280"/>
    <mergeCell ref="G279:H279"/>
    <mergeCell ref="E281:E283"/>
    <mergeCell ref="E258:E260"/>
    <mergeCell ref="E261:E263"/>
    <mergeCell ref="E266:E267"/>
    <mergeCell ref="G266:H266"/>
    <mergeCell ref="E268:E270"/>
    <mergeCell ref="E245:E247"/>
    <mergeCell ref="E248:E250"/>
    <mergeCell ref="E253:E254"/>
    <mergeCell ref="G253:H253"/>
    <mergeCell ref="E255:E257"/>
    <mergeCell ref="E232:E234"/>
    <mergeCell ref="E235:E237"/>
    <mergeCell ref="E240:E241"/>
    <mergeCell ref="E323:E325"/>
    <mergeCell ref="E326:E328"/>
    <mergeCell ref="E310:E312"/>
    <mergeCell ref="E313:E315"/>
    <mergeCell ref="E318:E319"/>
    <mergeCell ref="G318:H318"/>
    <mergeCell ref="E320:E322"/>
    <mergeCell ref="E297:E299"/>
    <mergeCell ref="E300:E302"/>
    <mergeCell ref="E305:E306"/>
    <mergeCell ref="G305:H305"/>
    <mergeCell ref="E307:E309"/>
    <mergeCell ref="G240:H240"/>
    <mergeCell ref="E242:E244"/>
    <mergeCell ref="E219:E221"/>
    <mergeCell ref="E222:E224"/>
    <mergeCell ref="E227:E228"/>
    <mergeCell ref="G227:H227"/>
    <mergeCell ref="E229:E231"/>
    <mergeCell ref="E206:E208"/>
    <mergeCell ref="E209:E211"/>
    <mergeCell ref="E214:E215"/>
    <mergeCell ref="G214:H214"/>
    <mergeCell ref="E216:E218"/>
    <mergeCell ref="E193:E195"/>
    <mergeCell ref="E196:E198"/>
    <mergeCell ref="E201:E202"/>
    <mergeCell ref="G201:H201"/>
    <mergeCell ref="E203:E205"/>
    <mergeCell ref="E180:E182"/>
    <mergeCell ref="E183:E185"/>
    <mergeCell ref="E188:E189"/>
    <mergeCell ref="G188:H188"/>
    <mergeCell ref="E190:E192"/>
    <mergeCell ref="E167:E169"/>
    <mergeCell ref="E170:E172"/>
    <mergeCell ref="E175:E176"/>
    <mergeCell ref="G175:H175"/>
    <mergeCell ref="E177:E179"/>
    <mergeCell ref="E154:E156"/>
    <mergeCell ref="E157:E159"/>
    <mergeCell ref="E162:E163"/>
    <mergeCell ref="G162:H162"/>
    <mergeCell ref="E164:E166"/>
    <mergeCell ref="E141:E143"/>
    <mergeCell ref="E144:E146"/>
    <mergeCell ref="E149:E150"/>
    <mergeCell ref="G149:H149"/>
    <mergeCell ref="E151:E153"/>
    <mergeCell ref="E128:E130"/>
    <mergeCell ref="E131:E133"/>
    <mergeCell ref="E136:E137"/>
    <mergeCell ref="G136:H136"/>
    <mergeCell ref="E138:E140"/>
    <mergeCell ref="E115:E117"/>
    <mergeCell ref="E118:E120"/>
    <mergeCell ref="E123:E124"/>
    <mergeCell ref="G123:H123"/>
    <mergeCell ref="E125:E127"/>
    <mergeCell ref="E76:E78"/>
    <mergeCell ref="E79:E81"/>
    <mergeCell ref="E84:E85"/>
    <mergeCell ref="G84:H84"/>
    <mergeCell ref="E86:E88"/>
    <mergeCell ref="E110:E111"/>
    <mergeCell ref="G110:H110"/>
    <mergeCell ref="E112:E114"/>
    <mergeCell ref="E71:E72"/>
    <mergeCell ref="G71:H71"/>
    <mergeCell ref="E73:E75"/>
    <mergeCell ref="G51:H51"/>
    <mergeCell ref="D66:H66"/>
    <mergeCell ref="A67:H67"/>
    <mergeCell ref="A68:H68"/>
    <mergeCell ref="E102:E104"/>
    <mergeCell ref="E105:E107"/>
    <mergeCell ref="E89:E91"/>
    <mergeCell ref="E92:E94"/>
    <mergeCell ref="E97:E98"/>
    <mergeCell ref="G97:H97"/>
    <mergeCell ref="E99:E101"/>
    <mergeCell ref="B45:C45"/>
    <mergeCell ref="G29:H29"/>
    <mergeCell ref="G58:H58"/>
    <mergeCell ref="G60:H60"/>
    <mergeCell ref="B58:B59"/>
    <mergeCell ref="B49:B50"/>
    <mergeCell ref="B46:C46"/>
    <mergeCell ref="E15:E16"/>
    <mergeCell ref="G15:H15"/>
    <mergeCell ref="E17:E19"/>
    <mergeCell ref="E20:E22"/>
    <mergeCell ref="E23:E25"/>
    <mergeCell ref="E31:E33"/>
    <mergeCell ref="E34:E36"/>
    <mergeCell ref="E37:E39"/>
    <mergeCell ref="B44:C44"/>
    <mergeCell ref="E29:E30"/>
    <mergeCell ref="F44:G44"/>
    <mergeCell ref="F45:G45"/>
    <mergeCell ref="F46:G46"/>
    <mergeCell ref="G49:H49"/>
  </mergeCells>
  <conditionalFormatting sqref="F17:F25">
    <cfRule type="expression" dxfId="126" priority="88">
      <formula>"Si(B17=""CR"")"</formula>
    </cfRule>
  </conditionalFormatting>
  <conditionalFormatting sqref="F61">
    <cfRule type="cellIs" dxfId="125" priority="66" operator="greaterThan">
      <formula>0.3</formula>
    </cfRule>
  </conditionalFormatting>
  <conditionalFormatting sqref="F61">
    <cfRule type="containsBlanks" dxfId="124" priority="46">
      <formula>LEN(TRIM(F61))=0</formula>
    </cfRule>
  </conditionalFormatting>
  <conditionalFormatting sqref="F62 F53">
    <cfRule type="colorScale" priority="41">
      <colorScale>
        <cfvo type="num" val="1E-4"/>
        <cfvo type="num" val="0.3"/>
        <color rgb="FFFFFFEB"/>
        <color rgb="FFFFD1D1"/>
      </colorScale>
    </cfRule>
  </conditionalFormatting>
  <conditionalFormatting sqref="F31:F39">
    <cfRule type="expression" dxfId="123" priority="40">
      <formula>"Si(B17=""CR"")"</formula>
    </cfRule>
  </conditionalFormatting>
  <conditionalFormatting sqref="F73:F81">
    <cfRule type="expression" dxfId="122" priority="39">
      <formula>"Si(B17=""CR"")"</formula>
    </cfRule>
  </conditionalFormatting>
  <conditionalFormatting sqref="F86:F94">
    <cfRule type="expression" dxfId="121" priority="19">
      <formula>"Si(B17=""CR"")"</formula>
    </cfRule>
  </conditionalFormatting>
  <conditionalFormatting sqref="F99:F107">
    <cfRule type="expression" dxfId="120" priority="18">
      <formula>"Si(B17=""CR"")"</formula>
    </cfRule>
  </conditionalFormatting>
  <conditionalFormatting sqref="F112:F120">
    <cfRule type="expression" dxfId="119" priority="17">
      <formula>"Si(B17=""CR"")"</formula>
    </cfRule>
  </conditionalFormatting>
  <conditionalFormatting sqref="F125:F133">
    <cfRule type="expression" dxfId="118" priority="16">
      <formula>"Si(B17=""CR"")"</formula>
    </cfRule>
  </conditionalFormatting>
  <conditionalFormatting sqref="F138:F146">
    <cfRule type="expression" dxfId="117" priority="15">
      <formula>"Si(B17=""CR"")"</formula>
    </cfRule>
  </conditionalFormatting>
  <conditionalFormatting sqref="F151:F159">
    <cfRule type="expression" dxfId="116" priority="14">
      <formula>"Si(B17=""CR"")"</formula>
    </cfRule>
  </conditionalFormatting>
  <conditionalFormatting sqref="F164:F172">
    <cfRule type="expression" dxfId="115" priority="13">
      <formula>"Si(B17=""CR"")"</formula>
    </cfRule>
  </conditionalFormatting>
  <conditionalFormatting sqref="F177:F185">
    <cfRule type="expression" dxfId="114" priority="12">
      <formula>"Si(B17=""CR"")"</formula>
    </cfRule>
  </conditionalFormatting>
  <conditionalFormatting sqref="F190:F198">
    <cfRule type="expression" dxfId="113" priority="11">
      <formula>"Si(B17=""CR"")"</formula>
    </cfRule>
  </conditionalFormatting>
  <conditionalFormatting sqref="F203:F211">
    <cfRule type="expression" dxfId="112" priority="10">
      <formula>"Si(B17=""CR"")"</formula>
    </cfRule>
  </conditionalFormatting>
  <conditionalFormatting sqref="F216:F224">
    <cfRule type="expression" dxfId="111" priority="9">
      <formula>"Si(B17=""CR"")"</formula>
    </cfRule>
  </conditionalFormatting>
  <conditionalFormatting sqref="F229:F237">
    <cfRule type="expression" dxfId="110" priority="8">
      <formula>"Si(B17=""CR"")"</formula>
    </cfRule>
  </conditionalFormatting>
  <conditionalFormatting sqref="F242:F250">
    <cfRule type="expression" dxfId="109" priority="7">
      <formula>"Si(B17=""CR"")"</formula>
    </cfRule>
  </conditionalFormatting>
  <conditionalFormatting sqref="F255:F263">
    <cfRule type="expression" dxfId="108" priority="6">
      <formula>"Si(B17=""CR"")"</formula>
    </cfRule>
  </conditionalFormatting>
  <conditionalFormatting sqref="F268:F276">
    <cfRule type="expression" dxfId="107" priority="5">
      <formula>"Si(B17=""CR"")"</formula>
    </cfRule>
  </conditionalFormatting>
  <conditionalFormatting sqref="F281:F289">
    <cfRule type="expression" dxfId="106" priority="4">
      <formula>"Si(B17=""CR"")"</formula>
    </cfRule>
  </conditionalFormatting>
  <conditionalFormatting sqref="F294:F302">
    <cfRule type="expression" dxfId="105" priority="3">
      <formula>"Si(B17=""CR"")"</formula>
    </cfRule>
  </conditionalFormatting>
  <conditionalFormatting sqref="F307:F315">
    <cfRule type="expression" dxfId="104" priority="2">
      <formula>"Si(B17=""CR"")"</formula>
    </cfRule>
  </conditionalFormatting>
  <conditionalFormatting sqref="F320:F328">
    <cfRule type="expression" dxfId="103" priority="1">
      <formula>"Si(B17=""CR"")"</formula>
    </cfRule>
  </conditionalFormatting>
  <dataValidations count="3">
    <dataValidation type="list" allowBlank="1" showInputMessage="1" showErrorMessage="1" sqref="C13 C27 C47 C56 E70 E83 E96 E109 E122 E135 E148 E161 E174 E187 E200 E213 E239 E252 E265 E278 E291 E304 E317 M70 E226" xr:uid="{00000000-0002-0000-0A00-000000000000}">
      <formula1>$L$13:$L$16</formula1>
    </dataValidation>
    <dataValidation type="list" allowBlank="1" showInputMessage="1" showErrorMessage="1" sqref="B46:C46 B8:C8" xr:uid="{00000000-0002-0000-0A00-000001000000}">
      <formula1>$P$13:$P$19</formula1>
    </dataValidation>
    <dataValidation allowBlank="1" showInputMessage="1" showErrorMessage="1" prompt="automatique selon l'équipement déclaré à l'onglet &quot;éqpmt&quot;" sqref="B47 B27 B13 B56" xr:uid="{00000000-0002-0000-0A00-000002000000}"/>
  </dataValidations>
  <printOptions horizontalCentered="1"/>
  <pageMargins left="0.70866141732283472" right="0.70866141732283472" top="0.74803149606299213" bottom="0.74803149606299213" header="0.31496062992125984" footer="0.31496062992125984"/>
  <pageSetup paperSize="120" scale="82" firstPageNumber="0" fitToHeight="0" orientation="portrait" r:id="rId1"/>
  <headerFooter>
    <oddFooter>&amp;CPage &amp;P de &amp;N</oddFooter>
  </headerFooter>
  <rowBreaks count="4" manualBreakCount="4">
    <brk id="68" max="7" man="1"/>
    <brk id="134" max="7" man="1"/>
    <brk id="199" max="7" man="1"/>
    <brk id="26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9">
    <tabColor theme="5" tint="-0.249977111117893"/>
    <pageSetUpPr fitToPage="1"/>
  </sheetPr>
  <dimension ref="A1:AA84"/>
  <sheetViews>
    <sheetView zoomScaleNormal="100" workbookViewId="0">
      <selection activeCell="H8" sqref="H8"/>
    </sheetView>
  </sheetViews>
  <sheetFormatPr baseColWidth="10" defaultColWidth="11.44140625" defaultRowHeight="13.2" x14ac:dyDescent="0.25"/>
  <cols>
    <col min="1" max="1" width="34.6640625" style="614" customWidth="1"/>
    <col min="2" max="9" width="10.6640625" style="614" customWidth="1"/>
    <col min="10" max="10" width="5.6640625" style="615" customWidth="1"/>
    <col min="11" max="11" width="6.6640625" style="614" customWidth="1"/>
    <col min="12" max="12" width="10" style="614" customWidth="1"/>
    <col min="13" max="13" width="14.5546875" style="614" customWidth="1"/>
    <col min="14" max="14" width="4.5546875" style="614" customWidth="1"/>
    <col min="15" max="17" width="10" style="614" customWidth="1"/>
    <col min="18" max="18" width="7.44140625" style="614" customWidth="1"/>
    <col min="19" max="19" width="6.6640625" style="614" customWidth="1"/>
    <col min="20" max="20" width="10.44140625" style="614" customWidth="1"/>
    <col min="21" max="21" width="4.5546875" style="614" customWidth="1"/>
    <col min="22" max="22" width="9.5546875" style="615" customWidth="1"/>
    <col min="23" max="23" width="12.33203125" style="614" customWidth="1"/>
    <col min="24" max="24" width="9.6640625" style="614" customWidth="1"/>
    <col min="25" max="25" width="6.44140625" style="614" customWidth="1"/>
    <col min="26" max="26" width="5.5546875" style="614" customWidth="1"/>
    <col min="27" max="27" width="9.44140625" style="614" customWidth="1"/>
    <col min="28" max="16384" width="11.44140625" style="614"/>
  </cols>
  <sheetData>
    <row r="1" spans="1:26" x14ac:dyDescent="0.25">
      <c r="A1" s="859" t="s">
        <v>753</v>
      </c>
      <c r="B1" s="54" t="str">
        <f>+Info!C10</f>
        <v>Clinique Ste-Mammo</v>
      </c>
      <c r="C1" s="55"/>
      <c r="D1" s="55"/>
      <c r="E1" s="56" t="s">
        <v>755</v>
      </c>
      <c r="F1" s="55"/>
      <c r="G1" s="55"/>
      <c r="H1" s="55"/>
      <c r="I1" s="203" t="str">
        <f>+Info!C37</f>
        <v>20-01-2020</v>
      </c>
      <c r="J1" s="613"/>
    </row>
    <row r="2" spans="1:26" x14ac:dyDescent="0.25">
      <c r="A2" s="58" t="s">
        <v>754</v>
      </c>
      <c r="B2" s="59" t="str">
        <f>+Info!C21</f>
        <v>Salle 2, Hirad IV</v>
      </c>
      <c r="C2" s="51"/>
      <c r="D2" s="51"/>
      <c r="E2" s="60" t="s">
        <v>756</v>
      </c>
      <c r="F2" s="51"/>
      <c r="G2" s="51"/>
      <c r="H2" s="51"/>
      <c r="I2" s="61" t="str">
        <f>+Info!C35</f>
        <v>Alexandre Toussaint</v>
      </c>
      <c r="J2" s="613"/>
    </row>
    <row r="3" spans="1:26" x14ac:dyDescent="0.25">
      <c r="A3" s="616"/>
      <c r="B3" s="616"/>
      <c r="C3" s="616"/>
      <c r="D3" s="616"/>
      <c r="E3" s="616"/>
      <c r="F3" s="616"/>
      <c r="G3" s="616"/>
      <c r="H3" s="616"/>
      <c r="I3" s="616"/>
      <c r="J3" s="613"/>
    </row>
    <row r="4" spans="1:26" ht="16.5" customHeight="1" x14ac:dyDescent="0.25">
      <c r="A4" s="617" t="s">
        <v>809</v>
      </c>
      <c r="B4" s="618"/>
      <c r="C4" s="618"/>
      <c r="D4" s="618"/>
      <c r="E4" s="618"/>
      <c r="F4" s="618"/>
      <c r="G4" s="618"/>
      <c r="H4" s="618"/>
      <c r="I4" s="618"/>
      <c r="J4" s="619"/>
      <c r="K4" s="620"/>
      <c r="L4" s="620"/>
      <c r="M4" s="620"/>
      <c r="N4" s="620"/>
      <c r="O4" s="620"/>
    </row>
    <row r="5" spans="1:26" ht="11.25" customHeight="1" x14ac:dyDescent="0.3">
      <c r="A5" s="621"/>
      <c r="B5" s="621"/>
      <c r="C5" s="621"/>
      <c r="D5" s="621"/>
      <c r="E5" s="621"/>
      <c r="F5" s="621"/>
      <c r="G5" s="621"/>
      <c r="H5" s="621"/>
      <c r="I5" s="621"/>
      <c r="J5" s="622"/>
      <c r="K5" s="623"/>
      <c r="L5" s="623"/>
      <c r="M5" s="623"/>
      <c r="N5" s="623"/>
      <c r="O5" s="623"/>
    </row>
    <row r="6" spans="1:26" x14ac:dyDescent="0.25">
      <c r="A6" s="177" t="s">
        <v>792</v>
      </c>
      <c r="B6" s="865" t="s">
        <v>142</v>
      </c>
      <c r="C6" s="865" t="s">
        <v>143</v>
      </c>
      <c r="D6" s="178"/>
      <c r="E6" s="178"/>
      <c r="F6" s="178"/>
      <c r="G6" s="178"/>
      <c r="H6" s="178"/>
      <c r="I6" s="178"/>
      <c r="J6" s="624"/>
      <c r="K6" s="625"/>
      <c r="L6" s="625"/>
      <c r="M6" s="625"/>
      <c r="N6" s="625"/>
    </row>
    <row r="7" spans="1:26" x14ac:dyDescent="0.25">
      <c r="A7" s="179" t="s">
        <v>793</v>
      </c>
      <c r="B7" s="626">
        <f>'2.7 Homog-CR'!B6</f>
        <v>45</v>
      </c>
      <c r="C7" s="626">
        <f>'2.7 Homog-CR'!C6</f>
        <v>45</v>
      </c>
      <c r="D7" s="627"/>
      <c r="E7" s="627"/>
      <c r="F7" s="627"/>
      <c r="G7" s="627"/>
      <c r="H7" s="627"/>
      <c r="I7" s="627"/>
      <c r="J7" s="628"/>
      <c r="K7" s="629"/>
      <c r="L7" s="629"/>
      <c r="M7" s="629"/>
      <c r="N7" s="629"/>
    </row>
    <row r="8" spans="1:26" x14ac:dyDescent="0.25">
      <c r="A8" s="179" t="s">
        <v>794</v>
      </c>
      <c r="B8" s="626">
        <f>'2.7 Homog-CR'!B7</f>
        <v>30</v>
      </c>
      <c r="C8" s="626">
        <f>'2.7 Homog-CR'!C7</f>
        <v>30</v>
      </c>
      <c r="D8" s="621"/>
      <c r="E8" s="621"/>
      <c r="F8" s="621"/>
      <c r="G8" s="621"/>
      <c r="H8" s="621"/>
      <c r="I8" s="621"/>
      <c r="J8" s="630"/>
      <c r="K8" s="631"/>
      <c r="L8" s="631"/>
      <c r="M8" s="631"/>
      <c r="N8" s="629"/>
    </row>
    <row r="9" spans="1:26" ht="13.8" thickBot="1" x14ac:dyDescent="0.3">
      <c r="A9" s="179" t="s">
        <v>804</v>
      </c>
      <c r="B9" s="626" t="str">
        <f>'2.7 Homog-CR'!B8</f>
        <v>Mo/Mo</v>
      </c>
      <c r="C9" s="626" t="str">
        <f>'2.7 Homog-CR'!C8</f>
        <v>Mo/Mo</v>
      </c>
      <c r="D9" s="621"/>
      <c r="E9" s="621"/>
      <c r="F9" s="621"/>
      <c r="G9" s="621"/>
      <c r="H9" s="621"/>
      <c r="I9" s="621"/>
      <c r="J9" s="630"/>
      <c r="K9" s="632" t="s">
        <v>501</v>
      </c>
      <c r="L9" s="633"/>
      <c r="M9" s="633"/>
      <c r="N9" s="629"/>
    </row>
    <row r="10" spans="1:26" x14ac:dyDescent="0.25">
      <c r="A10" s="179" t="s">
        <v>795</v>
      </c>
      <c r="B10" s="626" t="str">
        <f>'2.7 Homog-CR'!B9</f>
        <v>centrée</v>
      </c>
      <c r="C10" s="626" t="str">
        <f>'2.7 Homog-CR'!C9</f>
        <v>centrée</v>
      </c>
      <c r="D10" s="616"/>
      <c r="E10" s="616"/>
      <c r="F10" s="616"/>
      <c r="G10" s="616"/>
      <c r="H10" s="616"/>
      <c r="I10" s="616"/>
      <c r="J10" s="613"/>
      <c r="K10" s="632" t="s">
        <v>526</v>
      </c>
      <c r="L10" s="632"/>
      <c r="M10" s="632"/>
      <c r="N10" s="629"/>
      <c r="O10" s="634">
        <v>2</v>
      </c>
      <c r="P10" s="635">
        <v>3</v>
      </c>
      <c r="Q10" s="635">
        <v>4</v>
      </c>
      <c r="R10" s="635">
        <v>5</v>
      </c>
      <c r="S10" s="635">
        <v>6</v>
      </c>
      <c r="T10" s="636">
        <v>7</v>
      </c>
    </row>
    <row r="11" spans="1:26" x14ac:dyDescent="0.25">
      <c r="A11" s="179" t="s">
        <v>796</v>
      </c>
      <c r="B11" s="626">
        <f>'2.7 Homog-CR'!B10</f>
        <v>-1</v>
      </c>
      <c r="C11" s="626">
        <f>'2.7 Homog-CR'!C10</f>
        <v>2</v>
      </c>
      <c r="D11" s="616"/>
      <c r="E11" s="616"/>
      <c r="F11" s="616"/>
      <c r="G11" s="616"/>
      <c r="H11" s="616"/>
      <c r="I11" s="616"/>
      <c r="J11" s="613"/>
      <c r="K11" s="632" t="s">
        <v>464</v>
      </c>
      <c r="L11" s="632"/>
      <c r="M11" s="632"/>
      <c r="N11" s="629"/>
      <c r="O11" s="638" t="s">
        <v>458</v>
      </c>
      <c r="P11" s="639">
        <f>COUNTIF(P16:P37,"18x24")</f>
        <v>8</v>
      </c>
      <c r="Q11" s="639" t="s">
        <v>525</v>
      </c>
      <c r="R11" s="639">
        <f>COUNTIF(P16:P37,"0")</f>
        <v>9</v>
      </c>
      <c r="S11" s="632"/>
      <c r="T11" s="640"/>
    </row>
    <row r="12" spans="1:26" ht="13.8" thickBot="1" x14ac:dyDescent="0.3">
      <c r="A12" s="179" t="s">
        <v>797</v>
      </c>
      <c r="B12" s="626" t="str">
        <f>'2.7 Homog-CR'!B11</f>
        <v>standard</v>
      </c>
      <c r="C12" s="626" t="str">
        <f>'2.7 Homog-CR'!C11</f>
        <v>standard</v>
      </c>
      <c r="D12" s="616"/>
      <c r="E12" s="616"/>
      <c r="F12" s="616"/>
      <c r="G12" s="616"/>
      <c r="H12" s="616"/>
      <c r="I12" s="616"/>
      <c r="J12" s="613"/>
      <c r="K12" s="632" t="s">
        <v>462</v>
      </c>
      <c r="L12" s="632"/>
      <c r="M12" s="632"/>
      <c r="O12" s="641" t="s">
        <v>459</v>
      </c>
      <c r="P12" s="642">
        <f>COUNTIF(P16:P37,"24x30")</f>
        <v>5</v>
      </c>
      <c r="Q12" s="643"/>
      <c r="R12" s="643"/>
      <c r="S12" s="643"/>
      <c r="T12" s="644"/>
      <c r="V12" s="645" t="s">
        <v>463</v>
      </c>
      <c r="W12" s="632"/>
      <c r="X12" s="632"/>
      <c r="Y12" s="632"/>
    </row>
    <row r="13" spans="1:26" x14ac:dyDescent="0.25">
      <c r="A13" s="637"/>
      <c r="B13" s="621"/>
      <c r="C13" s="637"/>
      <c r="D13" s="616"/>
      <c r="E13" s="616"/>
      <c r="F13" s="616"/>
      <c r="G13" s="616"/>
      <c r="H13" s="616"/>
      <c r="I13" s="616"/>
      <c r="J13" s="613"/>
      <c r="W13" s="614" t="s">
        <v>698</v>
      </c>
      <c r="X13" s="614" t="s">
        <v>722</v>
      </c>
    </row>
    <row r="14" spans="1:26" ht="14.1" customHeight="1" x14ac:dyDescent="0.3">
      <c r="A14" s="646"/>
      <c r="B14" s="647"/>
      <c r="C14" s="1662" t="s">
        <v>395</v>
      </c>
      <c r="D14" s="1663"/>
      <c r="E14" s="1663"/>
      <c r="F14" s="648"/>
      <c r="G14" s="649"/>
      <c r="H14" s="1518" t="s">
        <v>402</v>
      </c>
      <c r="I14" s="1518"/>
      <c r="J14" s="613"/>
      <c r="K14" s="632" t="s">
        <v>146</v>
      </c>
      <c r="L14" s="632" t="s">
        <v>196</v>
      </c>
      <c r="M14" s="615" t="s">
        <v>461</v>
      </c>
      <c r="N14" s="645"/>
      <c r="O14" s="650" t="s">
        <v>460</v>
      </c>
      <c r="P14" s="650"/>
      <c r="Q14" s="650"/>
      <c r="R14" s="650"/>
      <c r="S14" s="650"/>
      <c r="T14" s="645"/>
      <c r="V14" s="651"/>
      <c r="W14" s="868">
        <f>MEDIAN(V16:V31)</f>
        <v>145.45454545454547</v>
      </c>
      <c r="X14" s="873">
        <f>MIN(X15:X31)</f>
        <v>0</v>
      </c>
      <c r="Y14" s="614" t="s">
        <v>723</v>
      </c>
      <c r="Z14" s="672"/>
    </row>
    <row r="15" spans="1:26" ht="14.1" customHeight="1" x14ac:dyDescent="0.25">
      <c r="A15" s="652" t="s">
        <v>159</v>
      </c>
      <c r="B15" s="653" t="s">
        <v>160</v>
      </c>
      <c r="C15" s="653" t="s">
        <v>161</v>
      </c>
      <c r="D15" s="652" t="s">
        <v>162</v>
      </c>
      <c r="E15" s="654" t="s">
        <v>146</v>
      </c>
      <c r="F15" s="652" t="s">
        <v>163</v>
      </c>
      <c r="G15" s="652" t="s">
        <v>164</v>
      </c>
      <c r="H15" s="534" t="s">
        <v>16</v>
      </c>
      <c r="I15" s="534" t="s">
        <v>17</v>
      </c>
      <c r="J15" s="613"/>
      <c r="K15" s="632" t="s">
        <v>120</v>
      </c>
      <c r="L15" s="632"/>
      <c r="M15" s="655"/>
      <c r="N15" s="645"/>
      <c r="O15" s="651" t="s">
        <v>451</v>
      </c>
      <c r="P15" s="651" t="s">
        <v>452</v>
      </c>
      <c r="Q15" s="651" t="s">
        <v>517</v>
      </c>
      <c r="R15" s="651" t="s">
        <v>453</v>
      </c>
      <c r="S15" s="651"/>
      <c r="T15" s="651" t="s">
        <v>196</v>
      </c>
      <c r="V15" s="651"/>
      <c r="W15" s="662">
        <f>MATCH(X14,X16:X31,0)</f>
        <v>2</v>
      </c>
      <c r="X15" s="614" t="s">
        <v>724</v>
      </c>
    </row>
    <row r="16" spans="1:26" ht="14.1" customHeight="1" x14ac:dyDescent="0.25">
      <c r="A16" s="656" t="str">
        <f t="shared" ref="A16:A31" si="0">IF($N16&lt;=$P$11,VLOOKUP($N$37-$P$12-$P$11+$N16,cass,O$10),"")</f>
        <v>cass#1</v>
      </c>
      <c r="B16" s="656" t="str">
        <f t="shared" ref="B16:B31" si="1">IF($N16&lt;=$P$11,VLOOKUP($N$37-$P$12-$P$11+$N16,cass,P$10),"")</f>
        <v>18x24</v>
      </c>
      <c r="C16" s="656">
        <f t="shared" ref="C16:C31" si="2">IF($N16&lt;=$P$11,VLOOKUP($N$37-$P$12-$P$11+$N16,cass,Q$10),"")</f>
        <v>1400</v>
      </c>
      <c r="D16" s="656">
        <f t="shared" ref="D16:D31" si="3">IF($N16&lt;=$P$11,VLOOKUP($N$37-$P$12-$P$11+$N16,cass,R$10),"")</f>
        <v>15</v>
      </c>
      <c r="E16" s="657">
        <v>99</v>
      </c>
      <c r="F16" s="656">
        <f t="shared" ref="F16:F31" si="4">IF($N16&lt;=$P$11,VLOOKUP($N$37-$P$12-$P$11+$N16,cass,T$10),"")</f>
        <v>75</v>
      </c>
      <c r="G16" s="658">
        <f>IF(C16="","",(ABS((E16-$E$32)/$E$32)))</f>
        <v>0.28112880600709633</v>
      </c>
      <c r="H16" s="659" t="str">
        <f>IF(C16="","",IF(AND(G16&lt;=0.15,ABS((F16-$F$32)/$F$32)&lt;=0.05),"X",""))</f>
        <v/>
      </c>
      <c r="I16" s="659" t="str">
        <f>IF(C16="","",IF(OR(G16&gt;0.15,ABS((F16-$F$32)/$F$32)&gt;0.05),"X",""))</f>
        <v>X</v>
      </c>
      <c r="J16" s="128"/>
      <c r="K16" s="660">
        <f>IF(E16="","",+ABS(E16-$E$32))</f>
        <v>38.715909090909093</v>
      </c>
      <c r="L16" s="660">
        <f>IF(F16="","",+ABS(F16-$F$32))</f>
        <v>0.5</v>
      </c>
      <c r="M16" s="661">
        <f>L16/$F$32</f>
        <v>6.7114093959731542E-3</v>
      </c>
      <c r="N16" s="632">
        <v>1</v>
      </c>
      <c r="O16" s="651" t="str">
        <f>'2.7 Homog-CR'!L324</f>
        <v>cass#21</v>
      </c>
      <c r="P16" s="651">
        <f>'2.7 Homog-CR'!M324</f>
        <v>0</v>
      </c>
      <c r="Q16" s="651">
        <f>'2.7 Homog-CR'!N324</f>
        <v>0</v>
      </c>
      <c r="R16" s="651">
        <f>'2.7 Homog-CR'!O324</f>
        <v>0</v>
      </c>
      <c r="S16" s="651">
        <f>'2.7 Homog-CR'!P324</f>
        <v>0</v>
      </c>
      <c r="T16" s="651">
        <f>'2.7 Homog-CR'!Q324</f>
        <v>75</v>
      </c>
      <c r="V16" s="868" t="str">
        <f>IF(H16="X",+E16,"")</f>
        <v/>
      </c>
      <c r="W16" s="651"/>
      <c r="X16" s="639" t="str">
        <f t="shared" ref="X16:X31" si="5">IF(V16="","",ABS(V16-$W$14))</f>
        <v/>
      </c>
    </row>
    <row r="17" spans="1:24" ht="14.1" customHeight="1" x14ac:dyDescent="0.25">
      <c r="A17" s="656" t="str">
        <f t="shared" si="0"/>
        <v>cass#2</v>
      </c>
      <c r="B17" s="656" t="str">
        <f t="shared" si="1"/>
        <v>18x24</v>
      </c>
      <c r="C17" s="656">
        <f t="shared" si="2"/>
        <v>1600</v>
      </c>
      <c r="D17" s="656">
        <f t="shared" si="3"/>
        <v>11</v>
      </c>
      <c r="E17" s="657">
        <f t="shared" ref="E17:E31" si="6">IF(C17="","",C17/D17)</f>
        <v>145.45454545454547</v>
      </c>
      <c r="F17" s="656">
        <f t="shared" si="4"/>
        <v>77</v>
      </c>
      <c r="G17" s="658">
        <f t="shared" ref="G17:G31" si="7">IF(C17="","",(ABS((E17-$E$32)/$E$32)))</f>
        <v>5.6192755177820027E-2</v>
      </c>
      <c r="H17" s="659" t="str">
        <f t="shared" ref="H17:H31" si="8">IF(C17="","",IF(AND(G17&lt;=0.15,ABS((F17-$F$32)/$F$32)&lt;=0.05),"X",""))</f>
        <v>X</v>
      </c>
      <c r="I17" s="659" t="str">
        <f t="shared" ref="I17:I31" si="9">IF(C17="","",IF(OR(G17&gt;0.15,ABS((F17-$F$32)/$F$32)&gt;0.05),"X",""))</f>
        <v/>
      </c>
      <c r="J17" s="128"/>
      <c r="K17" s="660">
        <f t="shared" ref="K17:K30" si="10">IF(E17="","",+ABS(E17-$E$32))</f>
        <v>7.738636363636374</v>
      </c>
      <c r="L17" s="660">
        <f t="shared" ref="L17:L30" si="11">IF(F17="","",+ABS(F17-$F$32))</f>
        <v>2.5</v>
      </c>
      <c r="M17" s="661">
        <f t="shared" ref="M17:M31" si="12">L17/$F$32</f>
        <v>3.3557046979865772E-2</v>
      </c>
      <c r="N17" s="632">
        <v>2</v>
      </c>
      <c r="O17" s="651" t="str">
        <f>'2.7 Homog-CR'!L142</f>
        <v>cass#7</v>
      </c>
      <c r="P17" s="651">
        <f>'2.7 Homog-CR'!M142</f>
        <v>0</v>
      </c>
      <c r="Q17" s="651">
        <f>'2.7 Homog-CR'!N142</f>
        <v>1600</v>
      </c>
      <c r="R17" s="651">
        <f>'2.7 Homog-CR'!O142</f>
        <v>0</v>
      </c>
      <c r="S17" s="651">
        <f>'2.7 Homog-CR'!P142</f>
        <v>0</v>
      </c>
      <c r="T17" s="651">
        <f>'2.7 Homog-CR'!Q142</f>
        <v>68</v>
      </c>
      <c r="V17" s="868">
        <f t="shared" ref="V17:V31" si="13">IF(H17="X",+E17,"")</f>
        <v>145.45454545454547</v>
      </c>
      <c r="W17" s="869" t="str">
        <f>INDEX($A$16:$A$31,$W$15)</f>
        <v>cass#2</v>
      </c>
      <c r="X17" s="639">
        <f t="shared" si="5"/>
        <v>0</v>
      </c>
    </row>
    <row r="18" spans="1:24" ht="14.1" customHeight="1" x14ac:dyDescent="0.25">
      <c r="A18" s="656" t="str">
        <f t="shared" si="0"/>
        <v>cass#4</v>
      </c>
      <c r="B18" s="656" t="str">
        <f t="shared" si="1"/>
        <v>18x24</v>
      </c>
      <c r="C18" s="656">
        <f t="shared" si="2"/>
        <v>1550</v>
      </c>
      <c r="D18" s="656">
        <f t="shared" si="3"/>
        <v>11</v>
      </c>
      <c r="E18" s="657">
        <f t="shared" si="6"/>
        <v>140.90909090909091</v>
      </c>
      <c r="F18" s="656">
        <f t="shared" si="4"/>
        <v>77</v>
      </c>
      <c r="G18" s="658">
        <f t="shared" si="7"/>
        <v>2.3186731578513042E-2</v>
      </c>
      <c r="H18" s="659" t="str">
        <f t="shared" si="8"/>
        <v>X</v>
      </c>
      <c r="I18" s="659" t="str">
        <f t="shared" si="9"/>
        <v/>
      </c>
      <c r="J18" s="128"/>
      <c r="K18" s="660">
        <f t="shared" si="10"/>
        <v>3.193181818181813</v>
      </c>
      <c r="L18" s="660">
        <f t="shared" si="11"/>
        <v>2.5</v>
      </c>
      <c r="M18" s="661">
        <f t="shared" si="12"/>
        <v>3.3557046979865772E-2</v>
      </c>
      <c r="N18" s="632">
        <v>3</v>
      </c>
      <c r="O18" s="651" t="str">
        <f>'2.7 Homog-CR'!L155</f>
        <v>cass#8</v>
      </c>
      <c r="P18" s="651">
        <f>'2.7 Homog-CR'!M155</f>
        <v>0</v>
      </c>
      <c r="Q18" s="651">
        <f>'2.7 Homog-CR'!N155</f>
        <v>1450</v>
      </c>
      <c r="R18" s="651">
        <f>'2.7 Homog-CR'!O155</f>
        <v>0</v>
      </c>
      <c r="S18" s="651">
        <f>'2.7 Homog-CR'!P155</f>
        <v>0</v>
      </c>
      <c r="T18" s="651">
        <f>'2.7 Homog-CR'!Q155</f>
        <v>72</v>
      </c>
      <c r="V18" s="868">
        <f t="shared" si="13"/>
        <v>140.90909090909091</v>
      </c>
      <c r="W18" s="663"/>
      <c r="X18" s="639">
        <f t="shared" si="5"/>
        <v>4.545454545454561</v>
      </c>
    </row>
    <row r="19" spans="1:24" ht="14.1" customHeight="1" x14ac:dyDescent="0.25">
      <c r="A19" s="656" t="str">
        <f t="shared" si="0"/>
        <v>cass#5</v>
      </c>
      <c r="B19" s="656" t="str">
        <f t="shared" si="1"/>
        <v>18x24</v>
      </c>
      <c r="C19" s="656">
        <f t="shared" si="2"/>
        <v>1600</v>
      </c>
      <c r="D19" s="656">
        <f t="shared" si="3"/>
        <v>11</v>
      </c>
      <c r="E19" s="657">
        <f t="shared" si="6"/>
        <v>145.45454545454547</v>
      </c>
      <c r="F19" s="656">
        <f t="shared" si="4"/>
        <v>70</v>
      </c>
      <c r="G19" s="658">
        <f t="shared" si="7"/>
        <v>5.6192755177820027E-2</v>
      </c>
      <c r="H19" s="659" t="str">
        <f t="shared" si="8"/>
        <v/>
      </c>
      <c r="I19" s="659" t="str">
        <f t="shared" si="9"/>
        <v>X</v>
      </c>
      <c r="J19" s="128"/>
      <c r="K19" s="660">
        <f t="shared" si="10"/>
        <v>7.738636363636374</v>
      </c>
      <c r="L19" s="660">
        <f t="shared" si="11"/>
        <v>4.5</v>
      </c>
      <c r="M19" s="661">
        <f t="shared" si="12"/>
        <v>6.0402684563758392E-2</v>
      </c>
      <c r="N19" s="632">
        <v>4</v>
      </c>
      <c r="O19" s="651" t="str">
        <f>'2.7 Homog-CR'!L181</f>
        <v>cass#10</v>
      </c>
      <c r="P19" s="651">
        <f>'2.7 Homog-CR'!M181</f>
        <v>0</v>
      </c>
      <c r="Q19" s="651">
        <f>'2.7 Homog-CR'!N181</f>
        <v>1290</v>
      </c>
      <c r="R19" s="651">
        <f>'2.7 Homog-CR'!O181</f>
        <v>0</v>
      </c>
      <c r="S19" s="651">
        <f>'2.7 Homog-CR'!P181</f>
        <v>0</v>
      </c>
      <c r="T19" s="651">
        <f>'2.7 Homog-CR'!Q181</f>
        <v>74</v>
      </c>
      <c r="V19" s="868" t="str">
        <f t="shared" si="13"/>
        <v/>
      </c>
      <c r="W19" s="663"/>
      <c r="X19" s="639" t="str">
        <f t="shared" si="5"/>
        <v/>
      </c>
    </row>
    <row r="20" spans="1:24" ht="14.1" customHeight="1" x14ac:dyDescent="0.25">
      <c r="A20" s="656" t="str">
        <f t="shared" si="0"/>
        <v>cass#9</v>
      </c>
      <c r="B20" s="656" t="str">
        <f t="shared" si="1"/>
        <v>18x24</v>
      </c>
      <c r="C20" s="656">
        <f t="shared" si="2"/>
        <v>1480</v>
      </c>
      <c r="D20" s="656">
        <f t="shared" si="3"/>
        <v>11</v>
      </c>
      <c r="E20" s="657">
        <f t="shared" si="6"/>
        <v>134.54545454545453</v>
      </c>
      <c r="F20" s="656">
        <f t="shared" si="4"/>
        <v>75</v>
      </c>
      <c r="G20" s="658">
        <f t="shared" si="7"/>
        <v>2.3021701460516658E-2</v>
      </c>
      <c r="H20" s="659" t="str">
        <f t="shared" si="8"/>
        <v>X</v>
      </c>
      <c r="I20" s="659" t="str">
        <f t="shared" si="9"/>
        <v/>
      </c>
      <c r="J20" s="128"/>
      <c r="K20" s="660">
        <f t="shared" si="10"/>
        <v>3.170454545454561</v>
      </c>
      <c r="L20" s="660">
        <f t="shared" si="11"/>
        <v>0.5</v>
      </c>
      <c r="M20" s="661">
        <f t="shared" si="12"/>
        <v>6.7114093959731542E-3</v>
      </c>
      <c r="N20" s="632">
        <v>5</v>
      </c>
      <c r="O20" s="651" t="str">
        <f>'2.7 Homog-CR'!L285</f>
        <v>cass#18</v>
      </c>
      <c r="P20" s="651">
        <f>'2.7 Homog-CR'!M285</f>
        <v>0</v>
      </c>
      <c r="Q20" s="651">
        <f>'2.7 Homog-CR'!N285</f>
        <v>1600</v>
      </c>
      <c r="R20" s="651">
        <f>'2.7 Homog-CR'!O285</f>
        <v>0</v>
      </c>
      <c r="S20" s="651">
        <f>'2.7 Homog-CR'!P285</f>
        <v>0</v>
      </c>
      <c r="T20" s="651">
        <f>'2.7 Homog-CR'!Q285</f>
        <v>71</v>
      </c>
      <c r="V20" s="868">
        <f t="shared" si="13"/>
        <v>134.54545454545453</v>
      </c>
      <c r="W20" s="663"/>
      <c r="X20" s="639">
        <f t="shared" si="5"/>
        <v>10.909090909090935</v>
      </c>
    </row>
    <row r="21" spans="1:24" ht="14.1" customHeight="1" x14ac:dyDescent="0.25">
      <c r="A21" s="656" t="str">
        <f t="shared" si="0"/>
        <v>cass#3</v>
      </c>
      <c r="B21" s="656" t="str">
        <f t="shared" si="1"/>
        <v>18x24</v>
      </c>
      <c r="C21" s="656">
        <f t="shared" si="2"/>
        <v>1600</v>
      </c>
      <c r="D21" s="656">
        <f t="shared" si="3"/>
        <v>11</v>
      </c>
      <c r="E21" s="657">
        <f t="shared" si="6"/>
        <v>145.45454545454547</v>
      </c>
      <c r="F21" s="656">
        <f t="shared" si="4"/>
        <v>78</v>
      </c>
      <c r="G21" s="658">
        <f t="shared" si="7"/>
        <v>5.6192755177820027E-2</v>
      </c>
      <c r="H21" s="659" t="str">
        <f t="shared" si="8"/>
        <v>X</v>
      </c>
      <c r="I21" s="659" t="str">
        <f t="shared" si="9"/>
        <v/>
      </c>
      <c r="J21" s="128"/>
      <c r="K21" s="660">
        <f t="shared" si="10"/>
        <v>7.738636363636374</v>
      </c>
      <c r="L21" s="660">
        <f t="shared" si="11"/>
        <v>3.5</v>
      </c>
      <c r="M21" s="661">
        <f t="shared" si="12"/>
        <v>4.6979865771812082E-2</v>
      </c>
      <c r="N21" s="632">
        <v>6</v>
      </c>
      <c r="O21" s="651" t="str">
        <f>'2.7 Homog-CR'!L311</f>
        <v>cass#20</v>
      </c>
      <c r="P21" s="651">
        <f>'2.7 Homog-CR'!M311</f>
        <v>0</v>
      </c>
      <c r="Q21" s="651">
        <f>'2.7 Homog-CR'!N311</f>
        <v>1600</v>
      </c>
      <c r="R21" s="651">
        <f>'2.7 Homog-CR'!O311</f>
        <v>0</v>
      </c>
      <c r="S21" s="651">
        <f>'2.7 Homog-CR'!P311</f>
        <v>0</v>
      </c>
      <c r="T21" s="651">
        <f>'2.7 Homog-CR'!Q311</f>
        <v>68</v>
      </c>
      <c r="V21" s="868">
        <f t="shared" si="13"/>
        <v>145.45454545454547</v>
      </c>
      <c r="W21" s="663"/>
      <c r="X21" s="639">
        <f t="shared" si="5"/>
        <v>0</v>
      </c>
    </row>
    <row r="22" spans="1:24" ht="14.1" customHeight="1" x14ac:dyDescent="0.25">
      <c r="A22" s="656" t="str">
        <f t="shared" si="0"/>
        <v>cass#19</v>
      </c>
      <c r="B22" s="656" t="str">
        <f t="shared" si="1"/>
        <v>18x24</v>
      </c>
      <c r="C22" s="656">
        <f t="shared" si="2"/>
        <v>1600</v>
      </c>
      <c r="D22" s="656">
        <f t="shared" si="3"/>
        <v>11</v>
      </c>
      <c r="E22" s="657">
        <f t="shared" si="6"/>
        <v>145.45454545454547</v>
      </c>
      <c r="F22" s="656">
        <f t="shared" si="4"/>
        <v>72</v>
      </c>
      <c r="G22" s="658">
        <f t="shared" si="7"/>
        <v>5.6192755177820027E-2</v>
      </c>
      <c r="H22" s="659" t="str">
        <f t="shared" si="8"/>
        <v>X</v>
      </c>
      <c r="I22" s="659" t="str">
        <f t="shared" si="9"/>
        <v/>
      </c>
      <c r="J22" s="128"/>
      <c r="K22" s="660">
        <f t="shared" si="10"/>
        <v>7.738636363636374</v>
      </c>
      <c r="L22" s="660">
        <f t="shared" si="11"/>
        <v>2.5</v>
      </c>
      <c r="M22" s="661">
        <f t="shared" si="12"/>
        <v>3.3557046979865772E-2</v>
      </c>
      <c r="N22" s="632">
        <v>7</v>
      </c>
      <c r="O22" s="651" t="str">
        <f>'2.7 Homog-CR'!L233</f>
        <v>cass#14</v>
      </c>
      <c r="P22" s="651">
        <f>'2.7 Homog-CR'!M233</f>
        <v>0</v>
      </c>
      <c r="Q22" s="651">
        <f>'2.7 Homog-CR'!N233</f>
        <v>0</v>
      </c>
      <c r="R22" s="651">
        <f>'2.7 Homog-CR'!O233</f>
        <v>0</v>
      </c>
      <c r="S22" s="651">
        <f>'2.7 Homog-CR'!P233</f>
        <v>0</v>
      </c>
      <c r="T22" s="651">
        <f>'2.7 Homog-CR'!Q233</f>
        <v>73</v>
      </c>
      <c r="V22" s="868">
        <f t="shared" si="13"/>
        <v>145.45454545454547</v>
      </c>
      <c r="W22" s="663"/>
      <c r="X22" s="639">
        <f t="shared" si="5"/>
        <v>0</v>
      </c>
    </row>
    <row r="23" spans="1:24" ht="14.1" customHeight="1" x14ac:dyDescent="0.25">
      <c r="A23" s="656" t="str">
        <f t="shared" si="0"/>
        <v>cass#12</v>
      </c>
      <c r="B23" s="656" t="str">
        <f t="shared" si="1"/>
        <v>18x24</v>
      </c>
      <c r="C23" s="656">
        <f t="shared" si="2"/>
        <v>1600</v>
      </c>
      <c r="D23" s="656">
        <f t="shared" si="3"/>
        <v>11</v>
      </c>
      <c r="E23" s="657">
        <f t="shared" si="6"/>
        <v>145.45454545454547</v>
      </c>
      <c r="F23" s="656">
        <f t="shared" si="4"/>
        <v>72</v>
      </c>
      <c r="G23" s="658">
        <f t="shared" si="7"/>
        <v>5.6192755177820027E-2</v>
      </c>
      <c r="H23" s="659" t="str">
        <f t="shared" si="8"/>
        <v>X</v>
      </c>
      <c r="I23" s="659" t="str">
        <f t="shared" si="9"/>
        <v/>
      </c>
      <c r="J23" s="128"/>
      <c r="K23" s="660">
        <f t="shared" si="10"/>
        <v>7.738636363636374</v>
      </c>
      <c r="L23" s="660">
        <f t="shared" si="11"/>
        <v>2.5</v>
      </c>
      <c r="M23" s="661">
        <f t="shared" si="12"/>
        <v>3.3557046979865772E-2</v>
      </c>
      <c r="N23" s="632">
        <v>8</v>
      </c>
      <c r="O23" s="651" t="str">
        <f>'2.7 Homog-CR'!L246</f>
        <v>cass#15</v>
      </c>
      <c r="P23" s="651">
        <f>'2.7 Homog-CR'!M246</f>
        <v>0</v>
      </c>
      <c r="Q23" s="651">
        <f>'2.7 Homog-CR'!N246</f>
        <v>0</v>
      </c>
      <c r="R23" s="651">
        <f>'2.7 Homog-CR'!O246</f>
        <v>0</v>
      </c>
      <c r="S23" s="651">
        <f>'2.7 Homog-CR'!P246</f>
        <v>0</v>
      </c>
      <c r="T23" s="651">
        <f>'2.7 Homog-CR'!Q246</f>
        <v>69</v>
      </c>
      <c r="V23" s="868">
        <f t="shared" si="13"/>
        <v>145.45454545454547</v>
      </c>
      <c r="W23" s="663"/>
      <c r="X23" s="639">
        <f t="shared" si="5"/>
        <v>0</v>
      </c>
    </row>
    <row r="24" spans="1:24" ht="14.1" customHeight="1" x14ac:dyDescent="0.25">
      <c r="A24" s="656" t="str">
        <f t="shared" si="0"/>
        <v/>
      </c>
      <c r="B24" s="656" t="str">
        <f t="shared" si="1"/>
        <v/>
      </c>
      <c r="C24" s="656" t="str">
        <f t="shared" si="2"/>
        <v/>
      </c>
      <c r="D24" s="656" t="str">
        <f t="shared" si="3"/>
        <v/>
      </c>
      <c r="E24" s="657" t="str">
        <f t="shared" si="6"/>
        <v/>
      </c>
      <c r="F24" s="656" t="str">
        <f t="shared" si="4"/>
        <v/>
      </c>
      <c r="G24" s="658" t="str">
        <f t="shared" si="7"/>
        <v/>
      </c>
      <c r="H24" s="659" t="str">
        <f t="shared" si="8"/>
        <v/>
      </c>
      <c r="I24" s="659" t="str">
        <f t="shared" si="9"/>
        <v/>
      </c>
      <c r="J24" s="128"/>
      <c r="K24" s="660" t="str">
        <f t="shared" si="10"/>
        <v/>
      </c>
      <c r="L24" s="660" t="str">
        <f t="shared" si="11"/>
        <v/>
      </c>
      <c r="M24" s="661" t="e">
        <f t="shared" si="12"/>
        <v>#VALUE!</v>
      </c>
      <c r="N24" s="632">
        <v>9</v>
      </c>
      <c r="O24" s="651" t="str">
        <f>'2.7 Homog-CR'!L129</f>
        <v>cass#6</v>
      </c>
      <c r="P24" s="651">
        <f>'2.7 Homog-CR'!M129</f>
        <v>0</v>
      </c>
      <c r="Q24" s="651">
        <f>'2.7 Homog-CR'!N129</f>
        <v>1500</v>
      </c>
      <c r="R24" s="651">
        <f>'2.7 Homog-CR'!O129</f>
        <v>0</v>
      </c>
      <c r="S24" s="651">
        <f>'2.7 Homog-CR'!P129</f>
        <v>0</v>
      </c>
      <c r="T24" s="651">
        <f>'2.7 Homog-CR'!Q129</f>
        <v>67</v>
      </c>
      <c r="V24" s="868" t="str">
        <f t="shared" si="13"/>
        <v/>
      </c>
      <c r="W24" s="663"/>
      <c r="X24" s="639" t="str">
        <f t="shared" si="5"/>
        <v/>
      </c>
    </row>
    <row r="25" spans="1:24" ht="14.1" customHeight="1" x14ac:dyDescent="0.25">
      <c r="A25" s="656" t="str">
        <f t="shared" si="0"/>
        <v/>
      </c>
      <c r="B25" s="656" t="str">
        <f t="shared" si="1"/>
        <v/>
      </c>
      <c r="C25" s="656" t="str">
        <f t="shared" si="2"/>
        <v/>
      </c>
      <c r="D25" s="656" t="str">
        <f t="shared" si="3"/>
        <v/>
      </c>
      <c r="E25" s="657" t="str">
        <f t="shared" si="6"/>
        <v/>
      </c>
      <c r="F25" s="656" t="str">
        <f t="shared" si="4"/>
        <v/>
      </c>
      <c r="G25" s="658" t="str">
        <f t="shared" si="7"/>
        <v/>
      </c>
      <c r="H25" s="659" t="str">
        <f t="shared" si="8"/>
        <v/>
      </c>
      <c r="I25" s="659" t="str">
        <f t="shared" si="9"/>
        <v/>
      </c>
      <c r="J25" s="128"/>
      <c r="K25" s="660" t="str">
        <f t="shared" si="10"/>
        <v/>
      </c>
      <c r="L25" s="660" t="str">
        <f t="shared" si="11"/>
        <v/>
      </c>
      <c r="M25" s="661" t="e">
        <f t="shared" si="12"/>
        <v>#VALUE!</v>
      </c>
      <c r="N25" s="632">
        <v>10</v>
      </c>
      <c r="O25" s="651" t="str">
        <f>'2.7 Homog-CR'!L71</f>
        <v>cass#1</v>
      </c>
      <c r="P25" s="651" t="str">
        <f>'2.7 Homog-CR'!M71</f>
        <v>18x24</v>
      </c>
      <c r="Q25" s="651">
        <f>'2.7 Homog-CR'!N71</f>
        <v>1400</v>
      </c>
      <c r="R25" s="651">
        <f>'2.7 Homog-CR'!O71</f>
        <v>15</v>
      </c>
      <c r="S25" s="651">
        <f>'2.7 Homog-CR'!P71</f>
        <v>0</v>
      </c>
      <c r="T25" s="651">
        <f>'2.7 Homog-CR'!Q71</f>
        <v>75</v>
      </c>
      <c r="V25" s="868" t="str">
        <f t="shared" si="13"/>
        <v/>
      </c>
      <c r="W25" s="663"/>
      <c r="X25" s="639" t="str">
        <f t="shared" si="5"/>
        <v/>
      </c>
    </row>
    <row r="26" spans="1:24" ht="14.1" customHeight="1" x14ac:dyDescent="0.25">
      <c r="A26" s="656" t="str">
        <f t="shared" si="0"/>
        <v/>
      </c>
      <c r="B26" s="656" t="str">
        <f t="shared" si="1"/>
        <v/>
      </c>
      <c r="C26" s="656" t="str">
        <f t="shared" si="2"/>
        <v/>
      </c>
      <c r="D26" s="656" t="str">
        <f t="shared" si="3"/>
        <v/>
      </c>
      <c r="E26" s="657" t="str">
        <f t="shared" si="6"/>
        <v/>
      </c>
      <c r="F26" s="656" t="str">
        <f t="shared" si="4"/>
        <v/>
      </c>
      <c r="G26" s="658" t="str">
        <f t="shared" si="7"/>
        <v/>
      </c>
      <c r="H26" s="659" t="str">
        <f t="shared" si="8"/>
        <v/>
      </c>
      <c r="I26" s="659" t="str">
        <f t="shared" si="9"/>
        <v/>
      </c>
      <c r="J26" s="128"/>
      <c r="K26" s="660" t="str">
        <f t="shared" si="10"/>
        <v/>
      </c>
      <c r="L26" s="660" t="str">
        <f>IF(F26="","",+ABS(F26-$F$32))</f>
        <v/>
      </c>
      <c r="M26" s="661" t="e">
        <f t="shared" si="12"/>
        <v>#VALUE!</v>
      </c>
      <c r="N26" s="632">
        <v>11</v>
      </c>
      <c r="O26" s="651" t="str">
        <f>'2.7 Homog-CR'!L77</f>
        <v>cass#2</v>
      </c>
      <c r="P26" s="651" t="str">
        <f>'2.7 Homog-CR'!M77</f>
        <v>18x24</v>
      </c>
      <c r="Q26" s="651">
        <f>'2.7 Homog-CR'!N77</f>
        <v>1600</v>
      </c>
      <c r="R26" s="651">
        <f>'2.7 Homog-CR'!O77</f>
        <v>11</v>
      </c>
      <c r="S26" s="651">
        <f>'2.7 Homog-CR'!P77</f>
        <v>0</v>
      </c>
      <c r="T26" s="651">
        <f>'2.7 Homog-CR'!Q77</f>
        <v>77</v>
      </c>
      <c r="V26" s="868" t="str">
        <f t="shared" si="13"/>
        <v/>
      </c>
      <c r="W26" s="663"/>
      <c r="X26" s="639" t="str">
        <f t="shared" si="5"/>
        <v/>
      </c>
    </row>
    <row r="27" spans="1:24" ht="14.1" customHeight="1" x14ac:dyDescent="0.25">
      <c r="A27" s="656" t="str">
        <f t="shared" si="0"/>
        <v/>
      </c>
      <c r="B27" s="656" t="str">
        <f t="shared" si="1"/>
        <v/>
      </c>
      <c r="C27" s="656" t="str">
        <f t="shared" si="2"/>
        <v/>
      </c>
      <c r="D27" s="656" t="str">
        <f t="shared" si="3"/>
        <v/>
      </c>
      <c r="E27" s="657" t="str">
        <f t="shared" si="6"/>
        <v/>
      </c>
      <c r="F27" s="656" t="str">
        <f t="shared" si="4"/>
        <v/>
      </c>
      <c r="G27" s="658" t="str">
        <f t="shared" si="7"/>
        <v/>
      </c>
      <c r="H27" s="659" t="str">
        <f t="shared" si="8"/>
        <v/>
      </c>
      <c r="I27" s="659" t="str">
        <f t="shared" si="9"/>
        <v/>
      </c>
      <c r="J27" s="128"/>
      <c r="K27" s="660" t="str">
        <f t="shared" si="10"/>
        <v/>
      </c>
      <c r="L27" s="660" t="str">
        <f t="shared" si="11"/>
        <v/>
      </c>
      <c r="M27" s="661" t="e">
        <f t="shared" si="12"/>
        <v>#VALUE!</v>
      </c>
      <c r="N27" s="632">
        <v>12</v>
      </c>
      <c r="O27" s="651" t="str">
        <f>'2.7 Homog-CR'!L103</f>
        <v>cass#4</v>
      </c>
      <c r="P27" s="651" t="str">
        <f>'2.7 Homog-CR'!M103</f>
        <v>18x24</v>
      </c>
      <c r="Q27" s="651">
        <f>'2.7 Homog-CR'!N103</f>
        <v>1550</v>
      </c>
      <c r="R27" s="651">
        <f>'2.7 Homog-CR'!O103</f>
        <v>11</v>
      </c>
      <c r="S27" s="651">
        <f>'2.7 Homog-CR'!P103</f>
        <v>0</v>
      </c>
      <c r="T27" s="651">
        <f>'2.7 Homog-CR'!Q103</f>
        <v>77</v>
      </c>
      <c r="V27" s="868" t="str">
        <f t="shared" si="13"/>
        <v/>
      </c>
      <c r="W27" s="663"/>
      <c r="X27" s="639" t="str">
        <f t="shared" si="5"/>
        <v/>
      </c>
    </row>
    <row r="28" spans="1:24" ht="14.1" customHeight="1" x14ac:dyDescent="0.25">
      <c r="A28" s="656" t="str">
        <f t="shared" si="0"/>
        <v/>
      </c>
      <c r="B28" s="656" t="str">
        <f t="shared" si="1"/>
        <v/>
      </c>
      <c r="C28" s="656" t="str">
        <f t="shared" si="2"/>
        <v/>
      </c>
      <c r="D28" s="656" t="str">
        <f t="shared" si="3"/>
        <v/>
      </c>
      <c r="E28" s="657" t="str">
        <f t="shared" si="6"/>
        <v/>
      </c>
      <c r="F28" s="656" t="str">
        <f t="shared" si="4"/>
        <v/>
      </c>
      <c r="G28" s="658" t="str">
        <f t="shared" si="7"/>
        <v/>
      </c>
      <c r="H28" s="659" t="str">
        <f t="shared" si="8"/>
        <v/>
      </c>
      <c r="I28" s="659" t="str">
        <f t="shared" si="9"/>
        <v/>
      </c>
      <c r="J28" s="128"/>
      <c r="K28" s="660" t="str">
        <f t="shared" si="10"/>
        <v/>
      </c>
      <c r="L28" s="660" t="str">
        <f t="shared" si="11"/>
        <v/>
      </c>
      <c r="M28" s="661" t="e">
        <f t="shared" si="12"/>
        <v>#VALUE!</v>
      </c>
      <c r="N28" s="632">
        <v>13</v>
      </c>
      <c r="O28" s="651" t="str">
        <f>'2.7 Homog-CR'!L116</f>
        <v>cass#5</v>
      </c>
      <c r="P28" s="651" t="str">
        <f>'2.7 Homog-CR'!M116</f>
        <v>18x24</v>
      </c>
      <c r="Q28" s="651">
        <f>'2.7 Homog-CR'!N116</f>
        <v>1600</v>
      </c>
      <c r="R28" s="651">
        <f>'2.7 Homog-CR'!O116</f>
        <v>11</v>
      </c>
      <c r="S28" s="651">
        <f>'2.7 Homog-CR'!P116</f>
        <v>0</v>
      </c>
      <c r="T28" s="651">
        <f>'2.7 Homog-CR'!Q116</f>
        <v>70</v>
      </c>
      <c r="V28" s="868" t="str">
        <f t="shared" si="13"/>
        <v/>
      </c>
      <c r="W28" s="663"/>
      <c r="X28" s="639" t="str">
        <f t="shared" si="5"/>
        <v/>
      </c>
    </row>
    <row r="29" spans="1:24" ht="14.1" customHeight="1" x14ac:dyDescent="0.25">
      <c r="A29" s="656" t="str">
        <f t="shared" si="0"/>
        <v/>
      </c>
      <c r="B29" s="656" t="str">
        <f t="shared" si="1"/>
        <v/>
      </c>
      <c r="C29" s="656" t="str">
        <f t="shared" si="2"/>
        <v/>
      </c>
      <c r="D29" s="656" t="str">
        <f t="shared" si="3"/>
        <v/>
      </c>
      <c r="E29" s="657" t="str">
        <f t="shared" si="6"/>
        <v/>
      </c>
      <c r="F29" s="656" t="str">
        <f t="shared" si="4"/>
        <v/>
      </c>
      <c r="G29" s="658" t="str">
        <f t="shared" si="7"/>
        <v/>
      </c>
      <c r="H29" s="659" t="str">
        <f t="shared" si="8"/>
        <v/>
      </c>
      <c r="I29" s="659" t="str">
        <f t="shared" si="9"/>
        <v/>
      </c>
      <c r="J29" s="128"/>
      <c r="K29" s="660" t="str">
        <f t="shared" si="10"/>
        <v/>
      </c>
      <c r="L29" s="660" t="str">
        <f t="shared" si="11"/>
        <v/>
      </c>
      <c r="M29" s="661" t="e">
        <f t="shared" si="12"/>
        <v>#VALUE!</v>
      </c>
      <c r="N29" s="632">
        <v>14</v>
      </c>
      <c r="O29" s="651" t="str">
        <f>'2.7 Homog-CR'!L168</f>
        <v>cass#9</v>
      </c>
      <c r="P29" s="651" t="str">
        <f>'2.7 Homog-CR'!M168</f>
        <v>18x24</v>
      </c>
      <c r="Q29" s="651">
        <f>'2.7 Homog-CR'!N168</f>
        <v>1480</v>
      </c>
      <c r="R29" s="651">
        <f>'2.7 Homog-CR'!O168</f>
        <v>11</v>
      </c>
      <c r="S29" s="651">
        <f>'2.7 Homog-CR'!P168</f>
        <v>0</v>
      </c>
      <c r="T29" s="651">
        <f>'2.7 Homog-CR'!Q168</f>
        <v>75</v>
      </c>
      <c r="V29" s="868" t="str">
        <f t="shared" si="13"/>
        <v/>
      </c>
      <c r="W29" s="663"/>
      <c r="X29" s="639" t="str">
        <f t="shared" si="5"/>
        <v/>
      </c>
    </row>
    <row r="30" spans="1:24" ht="14.1" customHeight="1" x14ac:dyDescent="0.25">
      <c r="A30" s="656" t="str">
        <f t="shared" si="0"/>
        <v/>
      </c>
      <c r="B30" s="656" t="str">
        <f t="shared" si="1"/>
        <v/>
      </c>
      <c r="C30" s="656" t="str">
        <f t="shared" si="2"/>
        <v/>
      </c>
      <c r="D30" s="656" t="str">
        <f t="shared" si="3"/>
        <v/>
      </c>
      <c r="E30" s="657" t="str">
        <f t="shared" si="6"/>
        <v/>
      </c>
      <c r="F30" s="656" t="str">
        <f t="shared" si="4"/>
        <v/>
      </c>
      <c r="G30" s="658" t="str">
        <f t="shared" si="7"/>
        <v/>
      </c>
      <c r="H30" s="659" t="str">
        <f t="shared" si="8"/>
        <v/>
      </c>
      <c r="I30" s="659" t="str">
        <f t="shared" si="9"/>
        <v/>
      </c>
      <c r="J30" s="128"/>
      <c r="K30" s="660" t="str">
        <f t="shared" si="10"/>
        <v/>
      </c>
      <c r="L30" s="660" t="str">
        <f t="shared" si="11"/>
        <v/>
      </c>
      <c r="M30" s="661" t="e">
        <f t="shared" si="12"/>
        <v>#VALUE!</v>
      </c>
      <c r="N30" s="632">
        <v>15</v>
      </c>
      <c r="O30" s="651" t="str">
        <f>'2.7 Homog-CR'!L90</f>
        <v>cass#3</v>
      </c>
      <c r="P30" s="651" t="str">
        <f>'2.7 Homog-CR'!M90</f>
        <v>18x24</v>
      </c>
      <c r="Q30" s="651">
        <f>'2.7 Homog-CR'!N90</f>
        <v>1600</v>
      </c>
      <c r="R30" s="651">
        <f>'2.7 Homog-CR'!O90</f>
        <v>11</v>
      </c>
      <c r="S30" s="651">
        <f>'2.7 Homog-CR'!P90</f>
        <v>0</v>
      </c>
      <c r="T30" s="651">
        <f>'2.7 Homog-CR'!Q90</f>
        <v>78</v>
      </c>
      <c r="V30" s="868" t="str">
        <f t="shared" si="13"/>
        <v/>
      </c>
      <c r="W30" s="663"/>
      <c r="X30" s="639" t="str">
        <f t="shared" si="5"/>
        <v/>
      </c>
    </row>
    <row r="31" spans="1:24" ht="14.1" customHeight="1" x14ac:dyDescent="0.25">
      <c r="A31" s="656" t="str">
        <f t="shared" si="0"/>
        <v/>
      </c>
      <c r="B31" s="656" t="str">
        <f t="shared" si="1"/>
        <v/>
      </c>
      <c r="C31" s="656" t="str">
        <f t="shared" si="2"/>
        <v/>
      </c>
      <c r="D31" s="656" t="str">
        <f t="shared" si="3"/>
        <v/>
      </c>
      <c r="E31" s="657" t="str">
        <f t="shared" si="6"/>
        <v/>
      </c>
      <c r="F31" s="656" t="str">
        <f t="shared" si="4"/>
        <v/>
      </c>
      <c r="G31" s="658" t="str">
        <f t="shared" si="7"/>
        <v/>
      </c>
      <c r="H31" s="664" t="str">
        <f t="shared" si="8"/>
        <v/>
      </c>
      <c r="I31" s="664" t="str">
        <f t="shared" si="9"/>
        <v/>
      </c>
      <c r="J31" s="128"/>
      <c r="K31" s="660" t="str">
        <f t="shared" ref="K31" si="14">IF(E31="","",+ABS(E31-$E$32))</f>
        <v/>
      </c>
      <c r="L31" s="660" t="str">
        <f t="shared" ref="L31" si="15">IF(F31="","",+ABS(F31-$F$32))</f>
        <v/>
      </c>
      <c r="M31" s="661" t="e">
        <f t="shared" si="12"/>
        <v>#VALUE!</v>
      </c>
      <c r="N31" s="632">
        <v>16</v>
      </c>
      <c r="O31" s="651" t="str">
        <f>'2.7 Homog-CR'!L298</f>
        <v>cass#19</v>
      </c>
      <c r="P31" s="651" t="str">
        <f>'2.7 Homog-CR'!M298</f>
        <v>18x24</v>
      </c>
      <c r="Q31" s="651">
        <f>'2.7 Homog-CR'!N298</f>
        <v>1600</v>
      </c>
      <c r="R31" s="651">
        <f>'2.7 Homog-CR'!O298</f>
        <v>11</v>
      </c>
      <c r="S31" s="651">
        <f>'2.7 Homog-CR'!P298</f>
        <v>0</v>
      </c>
      <c r="T31" s="651">
        <f>'2.7 Homog-CR'!Q298</f>
        <v>72</v>
      </c>
      <c r="V31" s="868" t="str">
        <f t="shared" si="13"/>
        <v/>
      </c>
      <c r="W31" s="663"/>
      <c r="X31" s="639" t="str">
        <f t="shared" si="5"/>
        <v/>
      </c>
    </row>
    <row r="32" spans="1:24" ht="14.1" customHeight="1" x14ac:dyDescent="0.25">
      <c r="A32" s="666"/>
      <c r="B32" s="667" t="s">
        <v>154</v>
      </c>
      <c r="C32" s="668">
        <f>IF(C16="","",AVERAGE(C16:C31))</f>
        <v>1553.75</v>
      </c>
      <c r="D32" s="669"/>
      <c r="E32" s="670">
        <f>AVERAGE(E16:E31)</f>
        <v>137.71590909090909</v>
      </c>
      <c r="F32" s="671">
        <f>IF(F16="","",AVERAGE(F16:F31))</f>
        <v>74.5</v>
      </c>
      <c r="G32" s="1656"/>
      <c r="H32" s="1657"/>
      <c r="I32" s="1658"/>
      <c r="J32" s="613"/>
      <c r="K32" s="660" t="s">
        <v>524</v>
      </c>
      <c r="L32" s="665">
        <f>COUNTIF(B16:B31,"18x24")</f>
        <v>8</v>
      </c>
      <c r="N32" s="632">
        <v>17</v>
      </c>
      <c r="O32" s="651" t="str">
        <f>'2.7 Homog-CR'!L207</f>
        <v>cass#12</v>
      </c>
      <c r="P32" s="651" t="str">
        <f>'2.7 Homog-CR'!M207</f>
        <v>18x24</v>
      </c>
      <c r="Q32" s="651">
        <f>'2.7 Homog-CR'!N207</f>
        <v>1600</v>
      </c>
      <c r="R32" s="651">
        <f>'2.7 Homog-CR'!O207</f>
        <v>11</v>
      </c>
      <c r="S32" s="651">
        <f>'2.7 Homog-CR'!P207</f>
        <v>0</v>
      </c>
      <c r="T32" s="651">
        <f>'2.7 Homog-CR'!Q207</f>
        <v>72</v>
      </c>
      <c r="V32" s="655"/>
    </row>
    <row r="33" spans="1:27" ht="14.1" customHeight="1" x14ac:dyDescent="0.25">
      <c r="A33" s="1664"/>
      <c r="B33" s="1665"/>
      <c r="C33" s="1666" t="s">
        <v>165</v>
      </c>
      <c r="D33" s="1667"/>
      <c r="E33" s="673">
        <f>+ABS(MAX(K16:K31)/E32)</f>
        <v>0.28112880600709633</v>
      </c>
      <c r="F33" s="673">
        <f>+ABS(MAX(L16:L31)/F32)</f>
        <v>6.0402684563758392E-2</v>
      </c>
      <c r="G33" s="1659"/>
      <c r="H33" s="1660"/>
      <c r="I33" s="1661"/>
      <c r="J33" s="613"/>
      <c r="K33" s="672"/>
      <c r="N33" s="632">
        <v>18</v>
      </c>
      <c r="O33" s="651" t="str">
        <f>'2.7 Homog-CR'!L259</f>
        <v>cass#16</v>
      </c>
      <c r="P33" s="651" t="str">
        <f>'2.7 Homog-CR'!M259</f>
        <v>24x30</v>
      </c>
      <c r="Q33" s="651">
        <f>'2.7 Homog-CR'!N259</f>
        <v>1400</v>
      </c>
      <c r="R33" s="651">
        <f>'2.7 Homog-CR'!O259</f>
        <v>14</v>
      </c>
      <c r="S33" s="651">
        <f>'2.7 Homog-CR'!P259</f>
        <v>0</v>
      </c>
      <c r="T33" s="651">
        <f>'2.7 Homog-CR'!Q259</f>
        <v>73</v>
      </c>
      <c r="W33" s="614" t="s">
        <v>698</v>
      </c>
      <c r="X33" s="614" t="s">
        <v>722</v>
      </c>
    </row>
    <row r="34" spans="1:27" ht="14.1" customHeight="1" x14ac:dyDescent="0.25">
      <c r="A34" s="674"/>
      <c r="B34" s="675"/>
      <c r="C34" s="676"/>
      <c r="D34" s="677"/>
      <c r="E34" s="676"/>
      <c r="F34" s="678"/>
      <c r="G34" s="679"/>
      <c r="H34" s="1655" t="s">
        <v>402</v>
      </c>
      <c r="I34" s="1655"/>
      <c r="J34" s="613"/>
      <c r="K34" s="672"/>
      <c r="N34" s="632">
        <v>19</v>
      </c>
      <c r="O34" s="651" t="str">
        <f>'2.7 Homog-CR'!L272</f>
        <v>cass#17</v>
      </c>
      <c r="P34" s="651" t="str">
        <f>'2.7 Homog-CR'!M272</f>
        <v>24x30</v>
      </c>
      <c r="Q34" s="651">
        <f>'2.7 Homog-CR'!N272</f>
        <v>1500</v>
      </c>
      <c r="R34" s="651">
        <f>'2.7 Homog-CR'!O272</f>
        <v>11</v>
      </c>
      <c r="S34" s="651">
        <f>'2.7 Homog-CR'!P272</f>
        <v>0</v>
      </c>
      <c r="T34" s="651">
        <f>'2.7 Homog-CR'!Q272</f>
        <v>72</v>
      </c>
      <c r="V34" s="651"/>
      <c r="W34" s="868">
        <f>MEDIAN(V36:V45)</f>
        <v>127.27272727272728</v>
      </c>
      <c r="X34" s="639">
        <f>MIN(X36:X45)</f>
        <v>9.0909090909090935</v>
      </c>
      <c r="Y34" s="614" t="s">
        <v>723</v>
      </c>
    </row>
    <row r="35" spans="1:27" ht="14.1" customHeight="1" x14ac:dyDescent="0.25">
      <c r="A35" s="652" t="s">
        <v>159</v>
      </c>
      <c r="B35" s="653" t="s">
        <v>160</v>
      </c>
      <c r="C35" s="653" t="s">
        <v>161</v>
      </c>
      <c r="D35" s="652" t="s">
        <v>162</v>
      </c>
      <c r="E35" s="654" t="s">
        <v>146</v>
      </c>
      <c r="F35" s="652" t="s">
        <v>163</v>
      </c>
      <c r="G35" s="652" t="s">
        <v>164</v>
      </c>
      <c r="H35" s="551" t="s">
        <v>16</v>
      </c>
      <c r="I35" s="551" t="s">
        <v>17</v>
      </c>
      <c r="J35" s="613"/>
      <c r="N35" s="632">
        <v>20</v>
      </c>
      <c r="O35" s="651">
        <f>'2.7 Homog-CR'!L72</f>
        <v>0</v>
      </c>
      <c r="P35" s="651" t="str">
        <f>'2.7 Homog-CR'!M72</f>
        <v>24x30</v>
      </c>
      <c r="Q35" s="651">
        <f>'2.7 Homog-CR'!N72</f>
        <v>1325</v>
      </c>
      <c r="R35" s="651">
        <f>'2.7 Homog-CR'!O72</f>
        <v>11</v>
      </c>
      <c r="S35" s="651">
        <f>'2.7 Homog-CR'!P72</f>
        <v>0</v>
      </c>
      <c r="T35" s="651">
        <f>'2.7 Homog-CR'!Q72</f>
        <v>65</v>
      </c>
      <c r="V35" s="651"/>
      <c r="W35" s="662">
        <f>MATCH(X34,X36:X45,0)</f>
        <v>2</v>
      </c>
      <c r="X35" s="614" t="s">
        <v>724</v>
      </c>
    </row>
    <row r="36" spans="1:27" ht="14.1" customHeight="1" x14ac:dyDescent="0.25">
      <c r="A36" s="680" t="str">
        <f t="shared" ref="A36:A45" si="16">IF($N16&lt;=$P$12,VLOOKUP($N$37-$P$12+$N16,cass,O$10),"")</f>
        <v>cass#16</v>
      </c>
      <c r="B36" s="680" t="str">
        <f t="shared" ref="B36:B45" si="17">IF($N16&lt;=$P$12,VLOOKUP($N$37-$P$12+$N16,cass,P$10),"")</f>
        <v>24x30</v>
      </c>
      <c r="C36" s="680">
        <f t="shared" ref="C36:C45" si="18">IF($N16&lt;=$P$12,VLOOKUP($N$37-$P$12+$N16,cass,Q$10),"")</f>
        <v>1400</v>
      </c>
      <c r="D36" s="680">
        <f t="shared" ref="D36:D45" si="19">IF($N16&lt;=$P$12,VLOOKUP($N$37-$P$12+$N16,cass,R$10),"")</f>
        <v>14</v>
      </c>
      <c r="E36" s="681">
        <f t="shared" ref="E36:E45" si="20">IF(C36="","",C36/D36)</f>
        <v>100</v>
      </c>
      <c r="F36" s="656">
        <f t="shared" ref="F36:F45" si="21">IF($N16&lt;=$P$12,VLOOKUP($N$37-$P$12+$N16,cass,T$10),"")</f>
        <v>73</v>
      </c>
      <c r="G36" s="658">
        <f>IF(C36="","",(ABS((E36-$E$46)/$E$46)))</f>
        <v>0.19413919413919414</v>
      </c>
      <c r="H36" s="659" t="str">
        <f t="shared" ref="H36" si="22">IF(C36="","",IF(AND(G36&lt;=0.15,ABS((F36-$F$46)/$F$46)&lt;=0.05),"X",""))</f>
        <v/>
      </c>
      <c r="I36" s="659" t="str">
        <f t="shared" ref="I36" si="23">IF(C36="","",IF(OR(G36&gt;0.15,ABS((F36-$F$46)/$F$46)&gt;0.05),"X",""))</f>
        <v>X</v>
      </c>
      <c r="J36" s="128"/>
      <c r="K36" s="660">
        <f>IF(E36="","",+ABS(E36-$E$46))</f>
        <v>24.090909090909093</v>
      </c>
      <c r="L36" s="660">
        <f>IF(F36="","",+ABS(F36-$F$46))</f>
        <v>1.4000000000000057</v>
      </c>
      <c r="M36" s="661">
        <f>L36/$F$46</f>
        <v>1.9553072625698404E-2</v>
      </c>
      <c r="N36" s="632">
        <v>21</v>
      </c>
      <c r="O36" s="651" t="str">
        <f>'2.7 Homog-CR'!L194</f>
        <v>cass#11</v>
      </c>
      <c r="P36" s="651" t="str">
        <f>'2.7 Homog-CR'!M194</f>
        <v>24x30</v>
      </c>
      <c r="Q36" s="651">
        <f>'2.7 Homog-CR'!N194</f>
        <v>1300</v>
      </c>
      <c r="R36" s="651">
        <f>'2.7 Homog-CR'!O194</f>
        <v>11</v>
      </c>
      <c r="S36" s="651">
        <f>'2.7 Homog-CR'!P194</f>
        <v>0</v>
      </c>
      <c r="T36" s="651">
        <f>'2.7 Homog-CR'!Q194</f>
        <v>74</v>
      </c>
      <c r="V36" s="868" t="str">
        <f t="shared" ref="V36:V45" si="24">IF(H36="X",+E36,"")</f>
        <v/>
      </c>
      <c r="W36" s="651"/>
      <c r="X36" s="639" t="str">
        <f t="shared" ref="X36:X45" si="25">IF(V36="","",ABS(V36-$W$34))</f>
        <v/>
      </c>
    </row>
    <row r="37" spans="1:27" ht="14.1" customHeight="1" x14ac:dyDescent="0.25">
      <c r="A37" s="680" t="str">
        <f t="shared" si="16"/>
        <v>cass#17</v>
      </c>
      <c r="B37" s="680" t="str">
        <f t="shared" si="17"/>
        <v>24x30</v>
      </c>
      <c r="C37" s="680">
        <f t="shared" si="18"/>
        <v>1500</v>
      </c>
      <c r="D37" s="680">
        <f t="shared" si="19"/>
        <v>11</v>
      </c>
      <c r="E37" s="681">
        <f t="shared" si="20"/>
        <v>136.36363636363637</v>
      </c>
      <c r="F37" s="656">
        <f t="shared" si="21"/>
        <v>72</v>
      </c>
      <c r="G37" s="658">
        <f t="shared" ref="G37:G45" si="26">IF(C37="","",(ABS((E37-$E$46)/$E$46)))</f>
        <v>9.8901098901098966E-2</v>
      </c>
      <c r="H37" s="659" t="str">
        <f t="shared" ref="H37:H45" si="27">IF(C37="","",IF(AND(G37&lt;=0.15,ABS((F37-$F$46)/$F$46)&lt;=0.05),"X",""))</f>
        <v>X</v>
      </c>
      <c r="I37" s="659" t="str">
        <f t="shared" ref="I37:I45" si="28">IF(C37="","",IF(OR(G37&gt;0.15,ABS((F37-$F$46)/$F$46)&gt;0.05),"X",""))</f>
        <v/>
      </c>
      <c r="J37" s="128"/>
      <c r="K37" s="660">
        <f t="shared" ref="K37:K45" si="29">IF(E37="","",+ABS(E37-$E$46))</f>
        <v>12.27272727272728</v>
      </c>
      <c r="L37" s="660">
        <f t="shared" ref="L37:L45" si="30">IF(F37="","",+ABS(F37-$F$46))</f>
        <v>0.40000000000000568</v>
      </c>
      <c r="M37" s="661">
        <f t="shared" ref="M37:M45" si="31">L37/$F$46</f>
        <v>5.5865921787710297E-3</v>
      </c>
      <c r="N37" s="632">
        <v>22</v>
      </c>
      <c r="O37" s="651" t="str">
        <f>'2.7 Homog-CR'!L220</f>
        <v>cass#13</v>
      </c>
      <c r="P37" s="651" t="str">
        <f>'2.7 Homog-CR'!M220</f>
        <v>24x30</v>
      </c>
      <c r="Q37" s="651">
        <f>'2.7 Homog-CR'!N220</f>
        <v>1600</v>
      </c>
      <c r="R37" s="651">
        <f>'2.7 Homog-CR'!O220</f>
        <v>11</v>
      </c>
      <c r="S37" s="651">
        <f>'2.7 Homog-CR'!P220</f>
        <v>0</v>
      </c>
      <c r="T37" s="651">
        <f>'2.7 Homog-CR'!Q220</f>
        <v>74</v>
      </c>
      <c r="V37" s="868">
        <f t="shared" si="24"/>
        <v>136.36363636363637</v>
      </c>
      <c r="W37" s="869" t="str">
        <f>INDEX($A$36:$A$45,$W$35)</f>
        <v>cass#17</v>
      </c>
      <c r="X37" s="639">
        <f t="shared" si="25"/>
        <v>9.0909090909090935</v>
      </c>
    </row>
    <row r="38" spans="1:27" ht="14.1" customHeight="1" x14ac:dyDescent="0.25">
      <c r="A38" s="680">
        <f t="shared" si="16"/>
        <v>0</v>
      </c>
      <c r="B38" s="680" t="str">
        <f t="shared" si="17"/>
        <v>24x30</v>
      </c>
      <c r="C38" s="680">
        <f t="shared" si="18"/>
        <v>1325</v>
      </c>
      <c r="D38" s="680">
        <f t="shared" si="19"/>
        <v>11</v>
      </c>
      <c r="E38" s="681">
        <f t="shared" si="20"/>
        <v>120.45454545454545</v>
      </c>
      <c r="F38" s="656">
        <f t="shared" si="21"/>
        <v>65</v>
      </c>
      <c r="G38" s="658">
        <f t="shared" si="26"/>
        <v>2.9304029304029335E-2</v>
      </c>
      <c r="H38" s="659" t="str">
        <f t="shared" si="27"/>
        <v/>
      </c>
      <c r="I38" s="659" t="str">
        <f t="shared" si="28"/>
        <v>X</v>
      </c>
      <c r="J38" s="128"/>
      <c r="K38" s="660">
        <f t="shared" si="29"/>
        <v>3.6363636363636402</v>
      </c>
      <c r="L38" s="660">
        <f t="shared" si="30"/>
        <v>6.5999999999999943</v>
      </c>
      <c r="M38" s="661">
        <f t="shared" si="31"/>
        <v>9.2178770949720601E-2</v>
      </c>
      <c r="V38" s="868" t="str">
        <f t="shared" si="24"/>
        <v/>
      </c>
      <c r="W38" s="651"/>
      <c r="X38" s="639" t="str">
        <f t="shared" si="25"/>
        <v/>
      </c>
    </row>
    <row r="39" spans="1:27" ht="14.1" customHeight="1" x14ac:dyDescent="0.25">
      <c r="A39" s="680" t="str">
        <f t="shared" si="16"/>
        <v>cass#11</v>
      </c>
      <c r="B39" s="680" t="str">
        <f t="shared" si="17"/>
        <v>24x30</v>
      </c>
      <c r="C39" s="680">
        <f t="shared" si="18"/>
        <v>1300</v>
      </c>
      <c r="D39" s="680">
        <f t="shared" si="19"/>
        <v>11</v>
      </c>
      <c r="E39" s="681">
        <f t="shared" si="20"/>
        <v>118.18181818181819</v>
      </c>
      <c r="F39" s="656">
        <f t="shared" si="21"/>
        <v>74</v>
      </c>
      <c r="G39" s="658">
        <f t="shared" si="26"/>
        <v>4.7619047619047596E-2</v>
      </c>
      <c r="H39" s="659" t="str">
        <f t="shared" si="27"/>
        <v>X</v>
      </c>
      <c r="I39" s="659" t="str">
        <f t="shared" si="28"/>
        <v/>
      </c>
      <c r="J39" s="128"/>
      <c r="K39" s="660">
        <f t="shared" si="29"/>
        <v>5.9090909090909065</v>
      </c>
      <c r="L39" s="660">
        <f t="shared" si="30"/>
        <v>2.4000000000000057</v>
      </c>
      <c r="M39" s="661">
        <f t="shared" si="31"/>
        <v>3.3519553072625781E-2</v>
      </c>
      <c r="V39" s="868">
        <f t="shared" si="24"/>
        <v>118.18181818181819</v>
      </c>
      <c r="W39" s="651"/>
      <c r="X39" s="639">
        <f t="shared" si="25"/>
        <v>9.0909090909090935</v>
      </c>
    </row>
    <row r="40" spans="1:27" ht="14.1" customHeight="1" x14ac:dyDescent="0.25">
      <c r="A40" s="680" t="str">
        <f t="shared" si="16"/>
        <v>cass#13</v>
      </c>
      <c r="B40" s="680" t="str">
        <f t="shared" si="17"/>
        <v>24x30</v>
      </c>
      <c r="C40" s="680">
        <f t="shared" si="18"/>
        <v>1600</v>
      </c>
      <c r="D40" s="680">
        <f t="shared" si="19"/>
        <v>11</v>
      </c>
      <c r="E40" s="681">
        <f t="shared" si="20"/>
        <v>145.45454545454547</v>
      </c>
      <c r="F40" s="656">
        <f t="shared" si="21"/>
        <v>74</v>
      </c>
      <c r="G40" s="658">
        <f t="shared" si="26"/>
        <v>0.17216117216117224</v>
      </c>
      <c r="H40" s="659" t="str">
        <f t="shared" si="27"/>
        <v/>
      </c>
      <c r="I40" s="659" t="str">
        <f t="shared" si="28"/>
        <v>X</v>
      </c>
      <c r="J40" s="128"/>
      <c r="K40" s="660">
        <f t="shared" si="29"/>
        <v>21.363636363636374</v>
      </c>
      <c r="L40" s="660">
        <f t="shared" si="30"/>
        <v>2.4000000000000057</v>
      </c>
      <c r="M40" s="661">
        <f t="shared" si="31"/>
        <v>3.3519553072625781E-2</v>
      </c>
      <c r="V40" s="868" t="str">
        <f t="shared" si="24"/>
        <v/>
      </c>
      <c r="W40" s="651"/>
      <c r="X40" s="639" t="str">
        <f t="shared" si="25"/>
        <v/>
      </c>
    </row>
    <row r="41" spans="1:27" ht="14.1" customHeight="1" x14ac:dyDescent="0.25">
      <c r="A41" s="680" t="str">
        <f t="shared" si="16"/>
        <v/>
      </c>
      <c r="B41" s="680" t="str">
        <f t="shared" si="17"/>
        <v/>
      </c>
      <c r="C41" s="680" t="str">
        <f t="shared" si="18"/>
        <v/>
      </c>
      <c r="D41" s="680" t="str">
        <f t="shared" si="19"/>
        <v/>
      </c>
      <c r="E41" s="681" t="str">
        <f t="shared" si="20"/>
        <v/>
      </c>
      <c r="F41" s="656" t="str">
        <f t="shared" si="21"/>
        <v/>
      </c>
      <c r="G41" s="658" t="str">
        <f t="shared" si="26"/>
        <v/>
      </c>
      <c r="H41" s="659" t="str">
        <f t="shared" si="27"/>
        <v/>
      </c>
      <c r="I41" s="659" t="str">
        <f t="shared" si="28"/>
        <v/>
      </c>
      <c r="J41" s="128"/>
      <c r="K41" s="660" t="str">
        <f t="shared" si="29"/>
        <v/>
      </c>
      <c r="L41" s="660" t="str">
        <f t="shared" si="30"/>
        <v/>
      </c>
      <c r="M41" s="661" t="e">
        <f t="shared" si="31"/>
        <v>#VALUE!</v>
      </c>
      <c r="V41" s="868" t="str">
        <f t="shared" si="24"/>
        <v/>
      </c>
      <c r="W41" s="651"/>
      <c r="X41" s="639" t="str">
        <f t="shared" si="25"/>
        <v/>
      </c>
    </row>
    <row r="42" spans="1:27" ht="14.1" customHeight="1" x14ac:dyDescent="0.25">
      <c r="A42" s="680" t="str">
        <f t="shared" si="16"/>
        <v/>
      </c>
      <c r="B42" s="680" t="str">
        <f t="shared" si="17"/>
        <v/>
      </c>
      <c r="C42" s="680" t="str">
        <f t="shared" si="18"/>
        <v/>
      </c>
      <c r="D42" s="680" t="str">
        <f t="shared" si="19"/>
        <v/>
      </c>
      <c r="E42" s="681" t="str">
        <f t="shared" si="20"/>
        <v/>
      </c>
      <c r="F42" s="656" t="str">
        <f t="shared" si="21"/>
        <v/>
      </c>
      <c r="G42" s="658" t="str">
        <f t="shared" si="26"/>
        <v/>
      </c>
      <c r="H42" s="659" t="str">
        <f t="shared" si="27"/>
        <v/>
      </c>
      <c r="I42" s="659" t="str">
        <f t="shared" si="28"/>
        <v/>
      </c>
      <c r="J42" s="128"/>
      <c r="K42" s="660" t="str">
        <f t="shared" si="29"/>
        <v/>
      </c>
      <c r="L42" s="660" t="str">
        <f t="shared" si="30"/>
        <v/>
      </c>
      <c r="M42" s="661" t="e">
        <f t="shared" si="31"/>
        <v>#VALUE!</v>
      </c>
      <c r="V42" s="868" t="str">
        <f t="shared" si="24"/>
        <v/>
      </c>
      <c r="W42" s="651"/>
      <c r="X42" s="639" t="str">
        <f t="shared" si="25"/>
        <v/>
      </c>
    </row>
    <row r="43" spans="1:27" ht="14.1" customHeight="1" x14ac:dyDescent="0.25">
      <c r="A43" s="680" t="str">
        <f t="shared" si="16"/>
        <v/>
      </c>
      <c r="B43" s="680" t="str">
        <f t="shared" si="17"/>
        <v/>
      </c>
      <c r="C43" s="680" t="str">
        <f t="shared" si="18"/>
        <v/>
      </c>
      <c r="D43" s="680" t="str">
        <f t="shared" si="19"/>
        <v/>
      </c>
      <c r="E43" s="681" t="str">
        <f t="shared" si="20"/>
        <v/>
      </c>
      <c r="F43" s="656" t="str">
        <f t="shared" si="21"/>
        <v/>
      </c>
      <c r="G43" s="658" t="str">
        <f t="shared" si="26"/>
        <v/>
      </c>
      <c r="H43" s="659" t="str">
        <f t="shared" si="27"/>
        <v/>
      </c>
      <c r="I43" s="659" t="str">
        <f t="shared" si="28"/>
        <v/>
      </c>
      <c r="J43" s="128"/>
      <c r="K43" s="660" t="str">
        <f t="shared" si="29"/>
        <v/>
      </c>
      <c r="L43" s="660" t="str">
        <f t="shared" si="30"/>
        <v/>
      </c>
      <c r="M43" s="661" t="e">
        <f t="shared" si="31"/>
        <v>#VALUE!</v>
      </c>
      <c r="V43" s="868" t="str">
        <f t="shared" si="24"/>
        <v/>
      </c>
      <c r="W43" s="651"/>
      <c r="X43" s="639" t="str">
        <f t="shared" si="25"/>
        <v/>
      </c>
    </row>
    <row r="44" spans="1:27" ht="14.1" customHeight="1" x14ac:dyDescent="0.25">
      <c r="A44" s="680" t="str">
        <f t="shared" si="16"/>
        <v/>
      </c>
      <c r="B44" s="680" t="str">
        <f t="shared" si="17"/>
        <v/>
      </c>
      <c r="C44" s="680" t="str">
        <f t="shared" si="18"/>
        <v/>
      </c>
      <c r="D44" s="680" t="str">
        <f t="shared" si="19"/>
        <v/>
      </c>
      <c r="E44" s="681" t="str">
        <f t="shared" si="20"/>
        <v/>
      </c>
      <c r="F44" s="656" t="str">
        <f t="shared" si="21"/>
        <v/>
      </c>
      <c r="G44" s="658" t="str">
        <f t="shared" si="26"/>
        <v/>
      </c>
      <c r="H44" s="659" t="str">
        <f t="shared" si="27"/>
        <v/>
      </c>
      <c r="I44" s="659" t="str">
        <f t="shared" si="28"/>
        <v/>
      </c>
      <c r="J44" s="128"/>
      <c r="K44" s="660" t="str">
        <f t="shared" si="29"/>
        <v/>
      </c>
      <c r="L44" s="660" t="str">
        <f t="shared" si="30"/>
        <v/>
      </c>
      <c r="M44" s="661" t="e">
        <f t="shared" si="31"/>
        <v>#VALUE!</v>
      </c>
      <c r="V44" s="868" t="str">
        <f t="shared" si="24"/>
        <v/>
      </c>
      <c r="W44" s="651"/>
      <c r="X44" s="639" t="str">
        <f t="shared" si="25"/>
        <v/>
      </c>
    </row>
    <row r="45" spans="1:27" ht="14.1" customHeight="1" x14ac:dyDescent="0.25">
      <c r="A45" s="680" t="str">
        <f t="shared" si="16"/>
        <v/>
      </c>
      <c r="B45" s="680" t="str">
        <f t="shared" si="17"/>
        <v/>
      </c>
      <c r="C45" s="680" t="str">
        <f t="shared" si="18"/>
        <v/>
      </c>
      <c r="D45" s="680" t="str">
        <f t="shared" si="19"/>
        <v/>
      </c>
      <c r="E45" s="681" t="str">
        <f t="shared" si="20"/>
        <v/>
      </c>
      <c r="F45" s="656" t="str">
        <f t="shared" si="21"/>
        <v/>
      </c>
      <c r="G45" s="658" t="str">
        <f t="shared" si="26"/>
        <v/>
      </c>
      <c r="H45" s="659" t="str">
        <f t="shared" si="27"/>
        <v/>
      </c>
      <c r="I45" s="659" t="str">
        <f t="shared" si="28"/>
        <v/>
      </c>
      <c r="J45" s="128"/>
      <c r="K45" s="660" t="str">
        <f t="shared" si="29"/>
        <v/>
      </c>
      <c r="L45" s="660" t="str">
        <f t="shared" si="30"/>
        <v/>
      </c>
      <c r="M45" s="661" t="e">
        <f t="shared" si="31"/>
        <v>#VALUE!</v>
      </c>
      <c r="V45" s="868" t="str">
        <f t="shared" si="24"/>
        <v/>
      </c>
      <c r="W45" s="651"/>
      <c r="X45" s="639" t="str">
        <f t="shared" si="25"/>
        <v/>
      </c>
    </row>
    <row r="46" spans="1:27" ht="14.1" customHeight="1" x14ac:dyDescent="0.25">
      <c r="A46" s="653"/>
      <c r="B46" s="682" t="s">
        <v>154</v>
      </c>
      <c r="C46" s="683">
        <f>IF(C36="","",AVERAGE(C36:C45))</f>
        <v>1425</v>
      </c>
      <c r="D46" s="669"/>
      <c r="E46" s="684">
        <f>IF(E36="","",AVERAGE(E36:E45))</f>
        <v>124.09090909090909</v>
      </c>
      <c r="F46" s="685">
        <f>IF(F36="","",AVERAGE(F36:F45))</f>
        <v>71.599999999999994</v>
      </c>
      <c r="G46" s="1656"/>
      <c r="H46" s="1657"/>
      <c r="I46" s="1658"/>
      <c r="J46" s="613"/>
      <c r="V46" s="655" t="str">
        <f>IF(H44="X",+ABS(G44-$W$14),"")</f>
        <v/>
      </c>
    </row>
    <row r="47" spans="1:27" ht="14.1" customHeight="1" x14ac:dyDescent="0.25">
      <c r="A47" s="1664"/>
      <c r="B47" s="1665"/>
      <c r="C47" s="1666" t="s">
        <v>165</v>
      </c>
      <c r="D47" s="1667"/>
      <c r="E47" s="673">
        <f>+ABS(MAX(K36:K45)/E46)</f>
        <v>0.19413919413919414</v>
      </c>
      <c r="F47" s="673">
        <f>+ABS(MAX(L36:L45)/F46)</f>
        <v>9.2178770949720601E-2</v>
      </c>
      <c r="G47" s="1659"/>
      <c r="H47" s="1660"/>
      <c r="I47" s="1661"/>
      <c r="J47" s="613"/>
      <c r="M47" s="686"/>
      <c r="N47" s="686"/>
      <c r="S47" s="871"/>
      <c r="T47" s="871"/>
      <c r="U47" s="871"/>
      <c r="V47" s="872"/>
      <c r="W47" s="871"/>
      <c r="X47" s="871"/>
      <c r="Y47" s="871"/>
      <c r="Z47" s="871"/>
    </row>
    <row r="48" spans="1:27" s="688" customFormat="1" x14ac:dyDescent="0.25">
      <c r="A48" s="687" t="s">
        <v>166</v>
      </c>
      <c r="B48" s="631"/>
      <c r="C48" s="631"/>
      <c r="D48" s="631"/>
      <c r="E48" s="631"/>
      <c r="F48" s="631"/>
      <c r="G48" s="631"/>
      <c r="H48" s="631"/>
      <c r="I48" s="631"/>
      <c r="J48" s="630"/>
      <c r="K48" s="631"/>
      <c r="L48" s="631"/>
      <c r="M48" s="631"/>
      <c r="N48" s="631"/>
      <c r="O48" s="614"/>
      <c r="P48" s="614"/>
      <c r="Q48" s="614"/>
      <c r="R48" s="614"/>
      <c r="S48" s="871"/>
      <c r="T48" s="871"/>
      <c r="U48" s="871"/>
      <c r="V48" s="872"/>
      <c r="W48" s="871"/>
      <c r="X48" s="871"/>
      <c r="Y48" s="871"/>
      <c r="Z48" s="871"/>
      <c r="AA48" s="614"/>
    </row>
    <row r="49" spans="1:27" s="688" customFormat="1" x14ac:dyDescent="0.25">
      <c r="A49" s="689" t="s">
        <v>810</v>
      </c>
      <c r="B49" s="690"/>
      <c r="C49" s="690"/>
      <c r="D49" s="690"/>
      <c r="E49" s="690"/>
      <c r="F49" s="690"/>
      <c r="G49" s="690"/>
      <c r="H49" s="691"/>
      <c r="I49" s="691"/>
      <c r="J49" s="692"/>
      <c r="K49" s="691"/>
      <c r="L49" s="691"/>
      <c r="M49" s="691"/>
      <c r="N49" s="691"/>
      <c r="U49" s="614"/>
      <c r="V49" s="615"/>
      <c r="W49" s="614"/>
      <c r="X49" s="614"/>
      <c r="Y49" s="614"/>
      <c r="Z49" s="614"/>
      <c r="AA49" s="614"/>
    </row>
    <row r="50" spans="1:27" s="688" customFormat="1" x14ac:dyDescent="0.25">
      <c r="A50" s="689" t="s">
        <v>811</v>
      </c>
      <c r="B50" s="693"/>
      <c r="C50" s="693"/>
      <c r="D50" s="693"/>
      <c r="E50" s="693"/>
      <c r="F50" s="693"/>
      <c r="G50" s="693"/>
      <c r="H50" s="694"/>
      <c r="I50" s="694"/>
      <c r="J50" s="692"/>
      <c r="K50" s="694"/>
      <c r="L50" s="694"/>
      <c r="M50" s="694"/>
      <c r="N50" s="694"/>
      <c r="U50" s="614"/>
      <c r="V50" s="615"/>
      <c r="W50" s="614"/>
      <c r="X50" s="614"/>
      <c r="Y50" s="614"/>
      <c r="Z50" s="614"/>
      <c r="AA50" s="614"/>
    </row>
    <row r="51" spans="1:27" x14ac:dyDescent="0.25">
      <c r="A51" s="616"/>
      <c r="B51" s="616"/>
      <c r="C51" s="616"/>
      <c r="D51" s="616"/>
      <c r="E51" s="616"/>
      <c r="F51" s="616"/>
      <c r="G51" s="616"/>
      <c r="H51" s="616"/>
      <c r="I51" s="616"/>
      <c r="J51" s="613"/>
    </row>
    <row r="52" spans="1:27" ht="14.1" customHeight="1" x14ac:dyDescent="0.25">
      <c r="A52" s="621" t="s">
        <v>167</v>
      </c>
      <c r="B52" s="870" t="str">
        <f>W17</f>
        <v>cass#2</v>
      </c>
      <c r="C52" s="621"/>
      <c r="D52" s="621"/>
      <c r="E52" s="621"/>
      <c r="F52" s="621"/>
      <c r="G52" s="621"/>
      <c r="H52" s="616"/>
      <c r="I52" s="616"/>
      <c r="J52" s="613"/>
    </row>
    <row r="53" spans="1:27" ht="14.1" customHeight="1" x14ac:dyDescent="0.25">
      <c r="A53" s="621"/>
      <c r="B53" s="616"/>
      <c r="C53" s="616"/>
      <c r="D53" s="616"/>
      <c r="E53" s="616"/>
      <c r="F53" s="616"/>
      <c r="G53" s="616"/>
      <c r="H53" s="616"/>
      <c r="I53" s="616"/>
      <c r="J53" s="613"/>
    </row>
    <row r="54" spans="1:27" ht="14.1" customHeight="1" x14ac:dyDescent="0.25">
      <c r="A54" s="621" t="s">
        <v>168</v>
      </c>
      <c r="B54" s="870" t="str">
        <f>W37</f>
        <v>cass#17</v>
      </c>
      <c r="C54" s="616"/>
      <c r="D54" s="616"/>
      <c r="E54" s="616"/>
      <c r="F54" s="616"/>
      <c r="G54" s="616"/>
      <c r="H54" s="616"/>
      <c r="I54" s="616"/>
      <c r="J54" s="613"/>
    </row>
    <row r="55" spans="1:27" ht="14.1" customHeight="1" x14ac:dyDescent="0.25">
      <c r="A55" s="616"/>
      <c r="B55" s="616"/>
      <c r="C55" s="616"/>
      <c r="D55" s="616"/>
      <c r="E55" s="616"/>
      <c r="F55" s="616"/>
      <c r="G55" s="616"/>
      <c r="H55" s="616"/>
      <c r="I55" s="616"/>
      <c r="J55" s="613"/>
    </row>
    <row r="56" spans="1:27" ht="14.1" customHeight="1" x14ac:dyDescent="0.25">
      <c r="A56" s="621"/>
      <c r="B56" s="616"/>
      <c r="C56" s="616"/>
      <c r="D56" s="616"/>
      <c r="E56" s="616"/>
      <c r="F56" s="616"/>
      <c r="G56" s="616"/>
      <c r="H56" s="616"/>
      <c r="I56" s="616"/>
      <c r="J56" s="613"/>
    </row>
    <row r="57" spans="1:27" ht="14.1" customHeight="1" x14ac:dyDescent="0.25">
      <c r="A57" s="616"/>
      <c r="B57" s="616"/>
      <c r="C57" s="616"/>
      <c r="D57" s="616"/>
      <c r="E57" s="616"/>
      <c r="F57" s="616"/>
      <c r="G57" s="616"/>
      <c r="H57" s="616"/>
      <c r="I57" s="616"/>
      <c r="J57" s="613"/>
    </row>
    <row r="58" spans="1:27" ht="14.1" customHeight="1" x14ac:dyDescent="0.25">
      <c r="A58" s="603" t="s">
        <v>778</v>
      </c>
      <c r="B58" s="603"/>
      <c r="C58" s="1645"/>
      <c r="D58" s="1645"/>
      <c r="E58" s="1645"/>
      <c r="F58" s="1645"/>
      <c r="G58" s="1645"/>
      <c r="H58" s="1645"/>
      <c r="I58" s="1645"/>
      <c r="J58" s="613"/>
    </row>
    <row r="59" spans="1:27" ht="14.1" customHeight="1" x14ac:dyDescent="0.3">
      <c r="A59" s="1645"/>
      <c r="B59" s="1645"/>
      <c r="C59" s="1645"/>
      <c r="D59" s="1645"/>
      <c r="E59" s="1645"/>
      <c r="F59" s="1645"/>
      <c r="G59" s="1645"/>
      <c r="H59" s="1645"/>
      <c r="I59" s="1645"/>
      <c r="J59" s="407" t="s">
        <v>490</v>
      </c>
    </row>
    <row r="60" spans="1:27" ht="14.1" customHeight="1" x14ac:dyDescent="0.25">
      <c r="A60" s="1654"/>
      <c r="B60" s="1654"/>
      <c r="C60" s="1654"/>
      <c r="D60" s="1654"/>
      <c r="E60" s="1654"/>
      <c r="F60" s="1654"/>
      <c r="G60" s="1654"/>
      <c r="H60" s="1654"/>
      <c r="I60" s="1654"/>
      <c r="J60" s="5">
        <f>COUNTIF(I36:I45,"X")+COUNTIF(I16:I31,"X")</f>
        <v>5</v>
      </c>
    </row>
    <row r="61" spans="1:27" x14ac:dyDescent="0.25">
      <c r="U61" s="172"/>
      <c r="W61" s="172"/>
      <c r="X61" s="172"/>
      <c r="Y61" s="172"/>
      <c r="Z61" s="172"/>
    </row>
    <row r="62" spans="1:27" x14ac:dyDescent="0.25">
      <c r="U62" s="172"/>
      <c r="W62" s="172"/>
      <c r="X62" s="172"/>
      <c r="Y62" s="172"/>
      <c r="Z62" s="172"/>
    </row>
    <row r="63" spans="1:27" x14ac:dyDescent="0.25">
      <c r="U63" s="172"/>
      <c r="W63" s="172"/>
      <c r="X63" s="172"/>
      <c r="Y63" s="172"/>
      <c r="Z63" s="172"/>
    </row>
    <row r="64" spans="1:27" x14ac:dyDescent="0.25">
      <c r="U64" s="172"/>
      <c r="V64" s="182"/>
      <c r="W64" s="172"/>
      <c r="X64" s="172"/>
      <c r="Y64" s="172"/>
      <c r="Z64" s="172"/>
    </row>
    <row r="65" spans="21:26" x14ac:dyDescent="0.25">
      <c r="U65" s="172"/>
      <c r="V65" s="182"/>
      <c r="W65" s="172"/>
      <c r="X65" s="172"/>
      <c r="Y65" s="172"/>
      <c r="Z65" s="172"/>
    </row>
    <row r="66" spans="21:26" x14ac:dyDescent="0.25">
      <c r="U66" s="172"/>
      <c r="V66" s="182"/>
      <c r="W66" s="172"/>
      <c r="X66" s="172"/>
      <c r="Y66" s="172"/>
      <c r="Z66" s="172"/>
    </row>
    <row r="67" spans="21:26" x14ac:dyDescent="0.25">
      <c r="U67" s="172"/>
      <c r="V67" s="182"/>
      <c r="W67" s="172"/>
      <c r="X67" s="172"/>
      <c r="Y67" s="172"/>
      <c r="Z67" s="172"/>
    </row>
    <row r="68" spans="21:26" x14ac:dyDescent="0.25">
      <c r="U68" s="172"/>
      <c r="V68" s="182"/>
      <c r="W68" s="172"/>
      <c r="X68" s="172"/>
      <c r="Y68" s="172"/>
      <c r="Z68" s="172"/>
    </row>
    <row r="69" spans="21:26" x14ac:dyDescent="0.25">
      <c r="U69" s="172"/>
      <c r="V69" s="182"/>
      <c r="W69" s="172"/>
      <c r="X69" s="172"/>
      <c r="Y69" s="172"/>
      <c r="Z69" s="172"/>
    </row>
    <row r="70" spans="21:26" x14ac:dyDescent="0.25">
      <c r="U70" s="172"/>
      <c r="V70" s="182"/>
      <c r="W70" s="172"/>
      <c r="X70" s="172"/>
      <c r="Y70" s="172"/>
      <c r="Z70" s="172"/>
    </row>
    <row r="71" spans="21:26" x14ac:dyDescent="0.25">
      <c r="U71" s="172"/>
      <c r="V71" s="182"/>
      <c r="W71" s="172"/>
      <c r="X71" s="172"/>
      <c r="Y71" s="172"/>
      <c r="Z71" s="172"/>
    </row>
    <row r="72" spans="21:26" x14ac:dyDescent="0.25">
      <c r="U72" s="172"/>
      <c r="V72" s="182"/>
      <c r="W72" s="172"/>
      <c r="X72" s="172"/>
      <c r="Y72" s="172"/>
      <c r="Z72" s="172"/>
    </row>
    <row r="73" spans="21:26" x14ac:dyDescent="0.25">
      <c r="U73" s="172"/>
      <c r="V73" s="182"/>
      <c r="W73" s="172"/>
      <c r="X73" s="172"/>
      <c r="Y73" s="172"/>
      <c r="Z73" s="172"/>
    </row>
    <row r="74" spans="21:26" x14ac:dyDescent="0.25">
      <c r="U74" s="172"/>
      <c r="V74" s="182"/>
      <c r="W74" s="172"/>
      <c r="X74" s="172"/>
      <c r="Y74" s="172"/>
      <c r="Z74" s="172"/>
    </row>
    <row r="75" spans="21:26" x14ac:dyDescent="0.25">
      <c r="U75" s="172"/>
      <c r="V75" s="182"/>
      <c r="W75" s="172"/>
      <c r="X75" s="172"/>
      <c r="Y75" s="172"/>
      <c r="Z75" s="172"/>
    </row>
    <row r="76" spans="21:26" x14ac:dyDescent="0.25">
      <c r="U76" s="172"/>
      <c r="V76" s="182"/>
      <c r="W76" s="172"/>
      <c r="X76" s="172"/>
      <c r="Y76" s="172"/>
      <c r="Z76" s="172"/>
    </row>
    <row r="77" spans="21:26" x14ac:dyDescent="0.25">
      <c r="U77" s="172"/>
      <c r="V77" s="182"/>
      <c r="W77" s="172"/>
      <c r="X77" s="172"/>
      <c r="Y77" s="172"/>
      <c r="Z77" s="172"/>
    </row>
    <row r="78" spans="21:26" x14ac:dyDescent="0.25">
      <c r="U78" s="172"/>
      <c r="V78" s="182"/>
      <c r="W78" s="172"/>
      <c r="X78" s="172"/>
      <c r="Y78" s="172"/>
      <c r="Z78" s="172"/>
    </row>
    <row r="79" spans="21:26" x14ac:dyDescent="0.25">
      <c r="U79" s="172"/>
      <c r="V79" s="182"/>
      <c r="W79" s="172"/>
      <c r="X79" s="172"/>
      <c r="Y79" s="172"/>
      <c r="Z79" s="172"/>
    </row>
    <row r="80" spans="21:26" x14ac:dyDescent="0.25">
      <c r="U80" s="172"/>
      <c r="V80" s="182"/>
      <c r="W80" s="172"/>
      <c r="X80" s="172"/>
      <c r="Y80" s="172"/>
      <c r="Z80" s="172"/>
    </row>
    <row r="81" spans="21:26" x14ac:dyDescent="0.25">
      <c r="U81" s="172"/>
      <c r="V81" s="182"/>
      <c r="W81" s="172"/>
      <c r="X81" s="172"/>
      <c r="Y81" s="172"/>
      <c r="Z81" s="172"/>
    </row>
    <row r="82" spans="21:26" x14ac:dyDescent="0.25">
      <c r="V82" s="182"/>
    </row>
    <row r="83" spans="21:26" x14ac:dyDescent="0.25">
      <c r="V83" s="182"/>
    </row>
    <row r="84" spans="21:26" x14ac:dyDescent="0.25">
      <c r="V84" s="182"/>
    </row>
  </sheetData>
  <sheetProtection algorithmName="SHA-512" hashValue="2dDKA4xeRddW47x/LMzHIL7gzfu5quQUeE/ooTJ/kL2Td23pkgCaj2003jin88Q4M/RrWlQaCLKlnEpPEamjVg==" saltValue="C12FQaAsu+n1fGRWllDrpQ==" spinCount="100000" sheet="1" objects="1" scenarios="1"/>
  <autoFilter ref="O15:T45" xr:uid="{00000000-0009-0000-0000-00000B000000}">
    <sortState xmlns:xlrd2="http://schemas.microsoft.com/office/spreadsheetml/2017/richdata2" ref="O16:T45">
      <sortCondition ref="P15:P45"/>
    </sortState>
  </autoFilter>
  <mergeCells count="12">
    <mergeCell ref="A60:I60"/>
    <mergeCell ref="H14:I14"/>
    <mergeCell ref="H34:I34"/>
    <mergeCell ref="A59:I59"/>
    <mergeCell ref="G32:I33"/>
    <mergeCell ref="G46:I47"/>
    <mergeCell ref="C14:E14"/>
    <mergeCell ref="A47:B47"/>
    <mergeCell ref="C47:D47"/>
    <mergeCell ref="A33:B33"/>
    <mergeCell ref="C33:D33"/>
    <mergeCell ref="C58:I58"/>
  </mergeCells>
  <conditionalFormatting sqref="L16">
    <cfRule type="expression" dxfId="102" priority="15">
      <formula>L16/$F$32&gt;5%</formula>
    </cfRule>
  </conditionalFormatting>
  <conditionalFormatting sqref="E47">
    <cfRule type="cellIs" dxfId="101" priority="11" operator="greaterThan">
      <formula>0.15</formula>
    </cfRule>
  </conditionalFormatting>
  <conditionalFormatting sqref="E33">
    <cfRule type="cellIs" dxfId="100" priority="10" operator="greaterThan">
      <formula>0.15</formula>
    </cfRule>
  </conditionalFormatting>
  <conditionalFormatting sqref="F47">
    <cfRule type="cellIs" dxfId="99" priority="9" operator="greaterThan">
      <formula>0.05</formula>
    </cfRule>
  </conditionalFormatting>
  <conditionalFormatting sqref="F33">
    <cfRule type="cellIs" dxfId="98" priority="8" operator="greaterThan">
      <formula>0.05</formula>
    </cfRule>
  </conditionalFormatting>
  <conditionalFormatting sqref="F36:F45">
    <cfRule type="expression" dxfId="97" priority="7">
      <formula>M36&gt;5%</formula>
    </cfRule>
  </conditionalFormatting>
  <conditionalFormatting sqref="F16:F31">
    <cfRule type="expression" dxfId="96" priority="3">
      <formula>M16&gt;5%</formula>
    </cfRule>
  </conditionalFormatting>
  <conditionalFormatting sqref="G16:G31">
    <cfRule type="expression" dxfId="95" priority="2">
      <formula>ABS((E16-$E$32)/$E$32)&gt;15%</formula>
    </cfRule>
  </conditionalFormatting>
  <conditionalFormatting sqref="G36:G45">
    <cfRule type="expression" dxfId="94" priority="1">
      <formula>ABS((E36-$E$46)/$E$46)&gt;15%</formula>
    </cfRule>
  </conditionalFormatting>
  <printOptions horizontalCentered="1"/>
  <pageMargins left="0.70866141732283472" right="0.70866141732283472" top="0.74803149606299213" bottom="0.74803149606299213" header="0.31496062992125984" footer="0.31496062992125984"/>
  <pageSetup paperSize="120" scale="74" firstPageNumber="0" orientation="portrait" r:id="rId1"/>
  <headerFooter>
    <oddFooter>&amp;CPage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0">
    <tabColor theme="3" tint="-0.249977111117893"/>
    <pageSetUpPr fitToPage="1"/>
  </sheetPr>
  <dimension ref="A1:S67"/>
  <sheetViews>
    <sheetView topLeftCell="A16" zoomScaleNormal="100" workbookViewId="0">
      <selection activeCell="A32" sqref="A32"/>
    </sheetView>
  </sheetViews>
  <sheetFormatPr baseColWidth="10" defaultColWidth="10.6640625" defaultRowHeight="14.4" x14ac:dyDescent="0.3"/>
  <cols>
    <col min="1" max="1" width="19.44140625" style="1075" customWidth="1"/>
    <col min="2" max="2" width="13" style="1075" customWidth="1"/>
    <col min="3" max="3" width="15.21875" style="1075" customWidth="1"/>
    <col min="4" max="4" width="13" style="1075" customWidth="1"/>
    <col min="5" max="5" width="13.5546875" style="1075" customWidth="1"/>
    <col min="6" max="6" width="13.44140625" style="1075" customWidth="1"/>
    <col min="7" max="7" width="13" style="1075" customWidth="1"/>
    <col min="8" max="9" width="10.6640625" style="1075"/>
    <col min="10" max="10" width="6.6640625" style="163" customWidth="1"/>
    <col min="11" max="11" width="25.5546875" style="1075" customWidth="1"/>
    <col min="12" max="12" width="12.77734375" style="1075" bestFit="1" customWidth="1"/>
    <col min="13" max="13" width="12.44140625" style="1075" bestFit="1" customWidth="1"/>
    <col min="14" max="14" width="11.77734375" style="1075" customWidth="1"/>
    <col min="15" max="15" width="11.5546875" style="1075" customWidth="1"/>
    <col min="16" max="16" width="31.44140625" style="1075" customWidth="1"/>
    <col min="17" max="17" width="20" style="1075" customWidth="1"/>
    <col min="18" max="18" width="13.33203125" style="163" customWidth="1"/>
    <col min="19" max="16384" width="10.6640625" style="1075"/>
  </cols>
  <sheetData>
    <row r="1" spans="1:19" x14ac:dyDescent="0.3">
      <c r="A1" s="53" t="s">
        <v>753</v>
      </c>
      <c r="B1" s="54" t="str">
        <f>+Info!C10</f>
        <v>Clinique Ste-Mammo</v>
      </c>
      <c r="C1" s="55"/>
      <c r="D1" s="55"/>
      <c r="E1" s="55"/>
      <c r="F1" s="56" t="s">
        <v>755</v>
      </c>
      <c r="G1" s="55"/>
      <c r="H1" s="55"/>
      <c r="I1" s="57" t="str">
        <f>+Info!C37</f>
        <v>20-01-2020</v>
      </c>
      <c r="J1" s="109"/>
      <c r="O1" s="1079" t="s">
        <v>171</v>
      </c>
    </row>
    <row r="2" spans="1:19" x14ac:dyDescent="0.3">
      <c r="A2" s="695" t="s">
        <v>754</v>
      </c>
      <c r="B2" s="59" t="str">
        <f>+Info!C21</f>
        <v>Salle 2, Hirad IV</v>
      </c>
      <c r="C2" s="51"/>
      <c r="D2" s="51"/>
      <c r="E2" s="51"/>
      <c r="F2" s="60" t="s">
        <v>756</v>
      </c>
      <c r="G2" s="51"/>
      <c r="H2" s="51"/>
      <c r="I2" s="61" t="str">
        <f>+Info!C35</f>
        <v>Alexandre Toussaint</v>
      </c>
      <c r="J2" s="109"/>
      <c r="K2" s="1079" t="s">
        <v>987</v>
      </c>
      <c r="L2" s="1079"/>
      <c r="M2" s="1079"/>
      <c r="O2" s="1079">
        <v>1</v>
      </c>
    </row>
    <row r="3" spans="1:19" x14ac:dyDescent="0.3">
      <c r="A3" s="216"/>
      <c r="B3" s="216"/>
      <c r="C3" s="216"/>
      <c r="D3" s="216"/>
      <c r="E3" s="216"/>
      <c r="F3" s="216"/>
      <c r="G3" s="216"/>
      <c r="H3" s="216"/>
      <c r="I3" s="216"/>
      <c r="J3" s="109"/>
      <c r="K3" s="404" t="s">
        <v>573</v>
      </c>
      <c r="L3" s="1079"/>
      <c r="M3" s="1079"/>
      <c r="O3" s="1079">
        <v>2</v>
      </c>
    </row>
    <row r="4" spans="1:19" x14ac:dyDescent="0.3">
      <c r="A4" s="696" t="s">
        <v>975</v>
      </c>
      <c r="B4" s="582"/>
      <c r="C4" s="582"/>
      <c r="D4" s="582"/>
      <c r="E4" s="582"/>
      <c r="F4" s="582"/>
      <c r="G4" s="582"/>
      <c r="H4" s="582"/>
      <c r="I4" s="582"/>
      <c r="J4" s="109"/>
      <c r="K4" s="1079" t="s">
        <v>991</v>
      </c>
      <c r="L4" s="1079"/>
      <c r="M4" s="1079"/>
      <c r="O4" s="1079">
        <v>3</v>
      </c>
    </row>
    <row r="5" spans="1:19" x14ac:dyDescent="0.3">
      <c r="A5" s="1185"/>
      <c r="F5" s="582"/>
      <c r="G5" s="582"/>
      <c r="H5" s="582"/>
      <c r="I5" s="582"/>
      <c r="J5" s="109"/>
      <c r="K5" s="1079" t="s">
        <v>992</v>
      </c>
      <c r="L5" s="1079"/>
      <c r="M5" s="1079"/>
      <c r="O5" s="1079">
        <v>4</v>
      </c>
    </row>
    <row r="6" spans="1:19" x14ac:dyDescent="0.3">
      <c r="A6" s="1015" t="s">
        <v>581</v>
      </c>
      <c r="B6" s="1200" t="s">
        <v>671</v>
      </c>
      <c r="C6" s="1694" t="s">
        <v>173</v>
      </c>
      <c r="D6" s="1695"/>
      <c r="J6" s="1075"/>
      <c r="K6" s="109"/>
      <c r="O6" s="1079">
        <v>5</v>
      </c>
      <c r="R6" s="1075"/>
      <c r="S6" s="163"/>
    </row>
    <row r="7" spans="1:19" x14ac:dyDescent="0.3">
      <c r="A7" s="1201" t="s">
        <v>244</v>
      </c>
      <c r="B7" s="1039">
        <v>60</v>
      </c>
      <c r="C7" s="1200" t="s">
        <v>519</v>
      </c>
      <c r="D7" s="1200" t="s">
        <v>170</v>
      </c>
      <c r="J7" s="1075"/>
      <c r="K7" s="109"/>
      <c r="O7" s="1079">
        <v>6</v>
      </c>
      <c r="R7" s="1075"/>
      <c r="S7" s="163"/>
    </row>
    <row r="8" spans="1:19" x14ac:dyDescent="0.3">
      <c r="A8" s="1264" t="s">
        <v>66</v>
      </c>
      <c r="B8" s="986" t="s">
        <v>670</v>
      </c>
      <c r="C8" s="706">
        <v>495</v>
      </c>
      <c r="D8" s="706">
        <v>441</v>
      </c>
      <c r="J8" s="1075"/>
      <c r="K8" s="109"/>
      <c r="O8" s="1079">
        <v>7</v>
      </c>
      <c r="R8" s="1075"/>
      <c r="S8" s="163"/>
    </row>
    <row r="9" spans="1:19" x14ac:dyDescent="0.3">
      <c r="A9" s="1073"/>
      <c r="B9" s="706">
        <v>55.5</v>
      </c>
      <c r="C9" s="898" t="s">
        <v>583</v>
      </c>
      <c r="D9" s="989">
        <f>+C8-D8</f>
        <v>54</v>
      </c>
      <c r="J9" s="109"/>
      <c r="K9" s="1075" t="s">
        <v>1129</v>
      </c>
      <c r="O9" s="1079">
        <v>8</v>
      </c>
    </row>
    <row r="10" spans="1:19" ht="22.8" x14ac:dyDescent="0.3">
      <c r="A10" s="1200" t="s">
        <v>171</v>
      </c>
      <c r="B10" s="1187" t="s">
        <v>518</v>
      </c>
      <c r="C10" s="1187" t="s">
        <v>672</v>
      </c>
      <c r="D10" s="1186" t="s">
        <v>172</v>
      </c>
      <c r="J10" s="109"/>
      <c r="K10" s="1033" t="s">
        <v>956</v>
      </c>
      <c r="L10" s="1033" t="s">
        <v>957</v>
      </c>
      <c r="N10" s="932" t="s">
        <v>200</v>
      </c>
      <c r="O10" s="1079">
        <v>9</v>
      </c>
    </row>
    <row r="11" spans="1:19" x14ac:dyDescent="0.3">
      <c r="A11" s="1281">
        <v>2</v>
      </c>
      <c r="B11" s="526" t="s">
        <v>305</v>
      </c>
      <c r="C11" s="706">
        <v>18</v>
      </c>
      <c r="D11" s="989">
        <f>+(C11/$D$9)*222</f>
        <v>74</v>
      </c>
      <c r="J11" s="109"/>
      <c r="K11" s="1034"/>
      <c r="L11" s="1033" t="s">
        <v>958</v>
      </c>
      <c r="N11" s="917" t="s">
        <v>66</v>
      </c>
      <c r="O11" s="1079">
        <v>10</v>
      </c>
    </row>
    <row r="12" spans="1:19" x14ac:dyDescent="0.3">
      <c r="A12" s="1281">
        <v>4</v>
      </c>
      <c r="B12" s="527"/>
      <c r="C12" s="706">
        <v>13</v>
      </c>
      <c r="D12" s="989">
        <f>+(C12/$D$9)*222</f>
        <v>53.444444444444443</v>
      </c>
      <c r="J12" s="109"/>
      <c r="K12" s="1033" t="s">
        <v>77</v>
      </c>
      <c r="L12" s="1033" t="s">
        <v>173</v>
      </c>
      <c r="N12" s="917" t="s">
        <v>123</v>
      </c>
      <c r="O12" s="1079"/>
    </row>
    <row r="13" spans="1:19" x14ac:dyDescent="0.3">
      <c r="A13" s="1281">
        <v>6</v>
      </c>
      <c r="B13" s="528"/>
      <c r="C13" s="706">
        <v>8</v>
      </c>
      <c r="D13" s="989">
        <f>+(C13/$D$9)*222</f>
        <v>32.888888888888886</v>
      </c>
      <c r="J13" s="109"/>
      <c r="K13" s="1035" t="s">
        <v>81</v>
      </c>
      <c r="L13" s="1036">
        <v>2</v>
      </c>
      <c r="N13" s="917" t="s">
        <v>124</v>
      </c>
    </row>
    <row r="14" spans="1:19" x14ac:dyDescent="0.3">
      <c r="A14" s="1281">
        <v>8</v>
      </c>
      <c r="B14" s="524"/>
      <c r="C14" s="706">
        <v>0.9</v>
      </c>
      <c r="D14" s="989">
        <f>+(C14/$D$9)*222</f>
        <v>3.6999999999999997</v>
      </c>
      <c r="J14" s="1078"/>
      <c r="K14" s="1037" t="s">
        <v>959</v>
      </c>
      <c r="L14" s="1038">
        <v>2</v>
      </c>
      <c r="N14" s="917" t="s">
        <v>202</v>
      </c>
    </row>
    <row r="15" spans="1:19" x14ac:dyDescent="0.3">
      <c r="A15" s="1265" t="s">
        <v>305</v>
      </c>
      <c r="B15" s="1266"/>
      <c r="C15" s="1199"/>
      <c r="D15" s="1263"/>
      <c r="H15" s="1704" t="s">
        <v>15</v>
      </c>
      <c r="I15" s="1707"/>
      <c r="J15" s="1078"/>
      <c r="K15" s="1035" t="s">
        <v>86</v>
      </c>
      <c r="L15" s="1036">
        <v>2.5</v>
      </c>
      <c r="N15" s="917" t="s">
        <v>203</v>
      </c>
    </row>
    <row r="16" spans="1:19" x14ac:dyDescent="0.3">
      <c r="A16" s="992"/>
      <c r="B16" s="993"/>
      <c r="C16" s="994"/>
      <c r="D16" s="995"/>
      <c r="E16" s="1706" t="s">
        <v>974</v>
      </c>
      <c r="F16" s="1706"/>
      <c r="G16" s="1199" t="s">
        <v>120</v>
      </c>
      <c r="H16" s="996" t="s">
        <v>16</v>
      </c>
      <c r="I16" s="996" t="s">
        <v>17</v>
      </c>
      <c r="J16" s="109"/>
      <c r="K16" s="1037" t="s">
        <v>87</v>
      </c>
      <c r="L16" s="1038">
        <v>3.5</v>
      </c>
      <c r="N16" s="917" t="s">
        <v>204</v>
      </c>
    </row>
    <row r="17" spans="1:19" x14ac:dyDescent="0.3">
      <c r="A17" s="997"/>
      <c r="B17" s="998" t="s">
        <v>673</v>
      </c>
      <c r="C17" s="984" t="s">
        <v>174</v>
      </c>
      <c r="D17" s="1170">
        <f>IF(ISBLANK(A14),(IF(ISBLANK(A13),L67,L54)),L42)</f>
        <v>4.2294652645856425</v>
      </c>
      <c r="E17" s="1000" t="s">
        <v>174</v>
      </c>
      <c r="F17" s="1041">
        <v>4</v>
      </c>
      <c r="G17" s="1014">
        <f>D17-F17</f>
        <v>0.22946526458564254</v>
      </c>
      <c r="H17" s="989" t="str">
        <f>IF($G$17&lt;=0,"","X")</f>
        <v>X</v>
      </c>
      <c r="I17" s="989" t="str">
        <f>IF($G$17&lt;=0,"X","")</f>
        <v/>
      </c>
      <c r="J17" s="109"/>
      <c r="K17" s="1035" t="s">
        <v>960</v>
      </c>
      <c r="L17" s="1036">
        <v>2.5</v>
      </c>
      <c r="N17" s="918" t="s">
        <v>912</v>
      </c>
    </row>
    <row r="18" spans="1:19" x14ac:dyDescent="0.3">
      <c r="A18" s="1184" t="s">
        <v>784</v>
      </c>
      <c r="B18" s="1184" t="s">
        <v>1045</v>
      </c>
      <c r="C18" s="698"/>
      <c r="D18" s="698"/>
      <c r="E18" s="698"/>
      <c r="F18" s="1082"/>
      <c r="G18" s="699"/>
      <c r="H18" s="1077"/>
      <c r="I18" s="699"/>
      <c r="J18" s="109"/>
      <c r="K18" s="1037" t="s">
        <v>961</v>
      </c>
      <c r="L18" s="1038">
        <v>6</v>
      </c>
      <c r="N18" s="1024"/>
    </row>
    <row r="19" spans="1:19" ht="14.7" customHeight="1" x14ac:dyDescent="0.3">
      <c r="J19" s="109"/>
      <c r="K19" s="1035" t="s">
        <v>90</v>
      </c>
      <c r="L19" s="1036">
        <v>4</v>
      </c>
    </row>
    <row r="20" spans="1:19" x14ac:dyDescent="0.3">
      <c r="J20" s="109"/>
      <c r="K20" s="1037" t="s">
        <v>424</v>
      </c>
      <c r="L20" s="1038">
        <v>5</v>
      </c>
    </row>
    <row r="21" spans="1:19" x14ac:dyDescent="0.3">
      <c r="A21" s="1015" t="s">
        <v>582</v>
      </c>
      <c r="B21" s="1001" t="s">
        <v>671</v>
      </c>
      <c r="C21" s="1696" t="s">
        <v>966</v>
      </c>
      <c r="D21" s="1697"/>
      <c r="E21" s="1002"/>
      <c r="F21" s="1003"/>
      <c r="G21" s="1004"/>
      <c r="H21" s="1704" t="s">
        <v>15</v>
      </c>
      <c r="I21" s="1693"/>
      <c r="J21" s="109"/>
      <c r="K21" s="1035" t="s">
        <v>94</v>
      </c>
      <c r="L21" s="1036">
        <v>5.5</v>
      </c>
      <c r="O21" s="1079" t="s">
        <v>963</v>
      </c>
      <c r="P21" s="1079"/>
      <c r="Q21" s="1079"/>
      <c r="R21" s="1079"/>
      <c r="S21" s="1079"/>
    </row>
    <row r="22" spans="1:19" x14ac:dyDescent="0.3">
      <c r="A22" s="1005" t="s">
        <v>244</v>
      </c>
      <c r="B22" s="1042"/>
      <c r="C22" s="1698">
        <v>6.7</v>
      </c>
      <c r="D22" s="1699"/>
      <c r="E22" s="987"/>
      <c r="F22" s="440"/>
      <c r="G22" s="1006"/>
      <c r="H22" s="1007" t="s">
        <v>16</v>
      </c>
      <c r="I22" s="1007" t="s">
        <v>17</v>
      </c>
      <c r="J22" s="109"/>
      <c r="K22" s="1037" t="s">
        <v>962</v>
      </c>
      <c r="L22" s="1038">
        <v>5.5</v>
      </c>
      <c r="M22" s="1075" t="s">
        <v>590</v>
      </c>
      <c r="O22" s="1079" t="s">
        <v>572</v>
      </c>
      <c r="P22" s="1079"/>
      <c r="Q22" s="1079"/>
      <c r="R22" s="1079"/>
      <c r="S22" s="1079"/>
    </row>
    <row r="23" spans="1:19" x14ac:dyDescent="0.3">
      <c r="A23" s="1267" t="s">
        <v>66</v>
      </c>
      <c r="B23" s="1001" t="s">
        <v>670</v>
      </c>
      <c r="C23" s="1700"/>
      <c r="D23" s="1701"/>
      <c r="E23" s="987"/>
      <c r="F23" s="440"/>
      <c r="G23" s="1006"/>
      <c r="H23" s="1705" t="s">
        <v>150</v>
      </c>
      <c r="I23" s="1705" t="s">
        <v>305</v>
      </c>
      <c r="J23" s="109"/>
      <c r="K23" s="1035" t="s">
        <v>98</v>
      </c>
      <c r="L23" s="1036">
        <v>5</v>
      </c>
      <c r="O23" s="1079" t="s">
        <v>964</v>
      </c>
      <c r="P23" s="1079"/>
      <c r="Q23" s="1079"/>
      <c r="R23" s="1079"/>
      <c r="S23" s="1079"/>
    </row>
    <row r="24" spans="1:19" x14ac:dyDescent="0.3">
      <c r="A24" s="1008"/>
      <c r="B24" s="1043"/>
      <c r="C24" s="1702"/>
      <c r="D24" s="1703"/>
      <c r="E24" s="988"/>
      <c r="F24" s="990"/>
      <c r="G24" s="991"/>
      <c r="H24" s="1705"/>
      <c r="I24" s="1705"/>
      <c r="J24" s="109"/>
      <c r="K24" s="1037" t="s">
        <v>97</v>
      </c>
      <c r="L24" s="1038">
        <v>5</v>
      </c>
      <c r="O24" s="1079"/>
      <c r="P24" s="1079"/>
      <c r="Q24" s="1079"/>
      <c r="R24" s="1079"/>
      <c r="S24" s="1079"/>
    </row>
    <row r="25" spans="1:19" x14ac:dyDescent="0.3">
      <c r="A25" s="1184" t="s">
        <v>784</v>
      </c>
      <c r="B25" s="700" t="s">
        <v>965</v>
      </c>
      <c r="J25" s="109"/>
      <c r="K25" s="1176" t="s">
        <v>1062</v>
      </c>
    </row>
    <row r="26" spans="1:19" x14ac:dyDescent="0.3">
      <c r="A26" s="1184"/>
      <c r="B26" s="700"/>
      <c r="J26" s="1078"/>
      <c r="Q26" s="1079"/>
    </row>
    <row r="27" spans="1:19" x14ac:dyDescent="0.3">
      <c r="A27" s="177" t="s">
        <v>995</v>
      </c>
      <c r="J27" s="1078" t="s">
        <v>305</v>
      </c>
      <c r="K27" s="1177" t="s">
        <v>988</v>
      </c>
      <c r="L27" s="914"/>
      <c r="M27" s="914"/>
      <c r="N27" s="914"/>
      <c r="O27" s="914"/>
    </row>
    <row r="28" spans="1:19" ht="14.4" customHeight="1" x14ac:dyDescent="0.3">
      <c r="A28" s="1690" t="s">
        <v>398</v>
      </c>
      <c r="B28" s="1691"/>
      <c r="C28" s="1199" t="s">
        <v>972</v>
      </c>
      <c r="D28" s="1011" t="s">
        <v>971</v>
      </c>
      <c r="E28" s="1199" t="s">
        <v>970</v>
      </c>
      <c r="F28" s="1010" t="s">
        <v>969</v>
      </c>
      <c r="G28" s="898" t="s">
        <v>973</v>
      </c>
      <c r="H28" s="1692" t="s">
        <v>15</v>
      </c>
      <c r="I28" s="1693"/>
      <c r="J28" s="109"/>
      <c r="K28" s="1177" t="s">
        <v>989</v>
      </c>
      <c r="L28" s="914"/>
      <c r="M28" s="914"/>
      <c r="N28" s="914"/>
      <c r="O28" s="914"/>
    </row>
    <row r="29" spans="1:19" ht="14.4" customHeight="1" x14ac:dyDescent="0.3">
      <c r="A29" s="1688"/>
      <c r="B29" s="1689"/>
      <c r="C29" s="1040"/>
      <c r="D29" s="1013" t="str">
        <f>Info!F37</f>
        <v>20-07-2019</v>
      </c>
      <c r="E29" s="999" t="str">
        <f>Info!C37</f>
        <v>20-01-2020</v>
      </c>
      <c r="F29" s="1009"/>
      <c r="G29" s="898"/>
      <c r="H29" s="996" t="s">
        <v>16</v>
      </c>
      <c r="I29" s="996" t="s">
        <v>17</v>
      </c>
      <c r="J29" s="109"/>
      <c r="K29" s="1177" t="s">
        <v>990</v>
      </c>
    </row>
    <row r="30" spans="1:19" ht="14.4" customHeight="1" x14ac:dyDescent="0.3">
      <c r="A30" s="1688" t="s">
        <v>581</v>
      </c>
      <c r="B30" s="1689"/>
      <c r="C30" s="1031">
        <v>4</v>
      </c>
      <c r="D30" s="1044">
        <v>3.9</v>
      </c>
      <c r="E30" s="999">
        <f>D17</f>
        <v>4.2294652645856425</v>
      </c>
      <c r="F30" s="1046">
        <f>+(E30-D30)/D30</f>
        <v>8.4478272970677601E-2</v>
      </c>
      <c r="G30" s="1046">
        <f>+(E30-C30)/C30</f>
        <v>5.7366316146410634E-2</v>
      </c>
      <c r="H30" s="989" t="str">
        <f>IF($F$30&lt;=-0.1,"","X")</f>
        <v>X</v>
      </c>
      <c r="I30" s="989" t="str">
        <f>IF($F$30&lt;-0.1,"X","")</f>
        <v/>
      </c>
      <c r="J30" s="109"/>
      <c r="K30" s="1261" t="s">
        <v>1056</v>
      </c>
      <c r="L30" s="1261"/>
      <c r="M30" s="1261"/>
      <c r="N30" s="1261"/>
      <c r="O30" s="1261"/>
    </row>
    <row r="31" spans="1:19" ht="14.4" customHeight="1" x14ac:dyDescent="0.3">
      <c r="A31" s="1671" t="s">
        <v>582</v>
      </c>
      <c r="B31" s="1671"/>
      <c r="C31" s="1031">
        <v>7</v>
      </c>
      <c r="D31" s="1045">
        <v>6.5</v>
      </c>
      <c r="E31" s="1170">
        <f>C22</f>
        <v>6.7</v>
      </c>
      <c r="F31" s="997"/>
      <c r="G31" s="997"/>
      <c r="H31" s="528" t="s">
        <v>150</v>
      </c>
      <c r="I31" s="1400"/>
      <c r="K31" s="1262" t="s">
        <v>1053</v>
      </c>
      <c r="L31" s="1261"/>
      <c r="M31" s="1261"/>
      <c r="N31" s="1261"/>
      <c r="O31" s="1261"/>
    </row>
    <row r="32" spans="1:19" ht="14.4" customHeight="1" x14ac:dyDescent="0.3">
      <c r="A32" s="1184" t="s">
        <v>784</v>
      </c>
      <c r="B32" s="1184" t="s">
        <v>1125</v>
      </c>
      <c r="C32" s="1012"/>
      <c r="D32" s="1012"/>
      <c r="F32" s="1012"/>
      <c r="G32" s="1012"/>
      <c r="H32" s="1012"/>
      <c r="I32" s="1012"/>
      <c r="K32" s="1261" t="s">
        <v>910</v>
      </c>
      <c r="L32" s="1261"/>
      <c r="M32" s="1261"/>
      <c r="N32" s="1261"/>
      <c r="O32" s="1261"/>
    </row>
    <row r="33" spans="1:15" ht="14.4" customHeight="1" x14ac:dyDescent="0.3">
      <c r="H33" s="1012"/>
      <c r="I33" s="1012"/>
      <c r="K33" s="1075" t="s">
        <v>576</v>
      </c>
      <c r="L33" s="163"/>
      <c r="N33" s="1075" t="s">
        <v>908</v>
      </c>
    </row>
    <row r="34" spans="1:15" x14ac:dyDescent="0.3">
      <c r="A34" s="1203" t="s">
        <v>778</v>
      </c>
      <c r="B34" s="1203"/>
      <c r="C34" s="1211"/>
      <c r="D34" s="1541"/>
      <c r="E34" s="1541"/>
      <c r="F34" s="1541"/>
      <c r="G34" s="1541"/>
      <c r="H34" s="1541"/>
      <c r="I34" s="1541"/>
      <c r="K34" s="1123" t="s">
        <v>580</v>
      </c>
      <c r="L34" s="1123" t="s">
        <v>455</v>
      </c>
      <c r="M34" s="1123" t="s">
        <v>1039</v>
      </c>
      <c r="N34" s="702" t="s">
        <v>909</v>
      </c>
      <c r="O34" s="703" t="s">
        <v>454</v>
      </c>
    </row>
    <row r="35" spans="1:15" x14ac:dyDescent="0.3">
      <c r="A35" s="1490"/>
      <c r="B35" s="1490"/>
      <c r="C35" s="1490"/>
      <c r="D35" s="1490"/>
      <c r="E35" s="1490"/>
      <c r="F35" s="1490"/>
      <c r="G35" s="1490"/>
      <c r="H35" s="1490"/>
      <c r="I35" s="1490"/>
      <c r="K35" s="701" t="s">
        <v>577</v>
      </c>
      <c r="L35" s="702" cm="1">
        <f t="array" ref="L35">EXP(INDEX(LINEST(LN($A$11:$A$14),LN($D$11:$D$14)),1,2))</f>
        <v>14.522145537892618</v>
      </c>
      <c r="M35" s="1168"/>
      <c r="N35" s="1079">
        <f t="array" ref="N35:O35">LINEST(A11:A14,D11:D14)</f>
        <v>-8.5694317191587349E-2</v>
      </c>
      <c r="O35" s="1079">
        <v>8.5141811241650096</v>
      </c>
    </row>
    <row r="36" spans="1:15" x14ac:dyDescent="0.3">
      <c r="A36" s="1490"/>
      <c r="B36" s="1490"/>
      <c r="C36" s="1490"/>
      <c r="D36" s="1490"/>
      <c r="E36" s="1490"/>
      <c r="F36" s="1490"/>
      <c r="G36" s="1490"/>
      <c r="H36" s="1490"/>
      <c r="I36" s="1490"/>
      <c r="J36" s="1123" t="s">
        <v>490</v>
      </c>
      <c r="K36" s="1123" t="s">
        <v>454</v>
      </c>
      <c r="L36" s="703" cm="1">
        <f t="array" ref="L36">_xlfn.SINGLE(INDEX(LINEST(LN($A$11:$A$14),LN($D$11:$D$14),,),1))</f>
        <v>-0.36319113152529514</v>
      </c>
      <c r="M36" s="1168"/>
      <c r="N36" s="703"/>
      <c r="O36" s="703"/>
    </row>
    <row r="37" spans="1:15" x14ac:dyDescent="0.3">
      <c r="A37" s="1490"/>
      <c r="B37" s="1490"/>
      <c r="C37" s="1490"/>
      <c r="D37" s="1490"/>
      <c r="E37" s="1490"/>
      <c r="F37" s="1490"/>
      <c r="G37" s="1490"/>
      <c r="H37" s="1490"/>
      <c r="I37" s="1490"/>
      <c r="J37" s="6">
        <f>COUNTIF(I17,"X")+COUNTIF(I23,"X")+COUNTIF(I30:I31,"X")</f>
        <v>0</v>
      </c>
      <c r="K37" s="1123" t="s">
        <v>907</v>
      </c>
      <c r="L37" s="1168" cm="1">
        <f t="array" ref="L37">RSQ(LN($A$11:$A$14),LN($D$11:$D$14))</f>
        <v>0.66542145784751927</v>
      </c>
      <c r="M37" s="1168"/>
      <c r="N37" s="1079">
        <f>RSQ($A$11:$A$14,$D$11:$D$14)</f>
        <v>0.99172128967664219</v>
      </c>
      <c r="O37" s="1168"/>
    </row>
    <row r="38" spans="1:15" x14ac:dyDescent="0.3">
      <c r="A38" s="1082"/>
      <c r="B38" s="1082"/>
      <c r="C38" s="1082"/>
      <c r="D38" s="1082"/>
      <c r="E38" s="1082"/>
      <c r="F38" s="1082"/>
      <c r="G38" s="1082"/>
      <c r="H38" s="1082"/>
      <c r="I38" s="1082"/>
      <c r="K38" s="1172" t="s">
        <v>1040</v>
      </c>
      <c r="L38" s="1686" t="s">
        <v>171</v>
      </c>
      <c r="M38" s="1687"/>
      <c r="N38" s="705"/>
      <c r="O38" s="705"/>
    </row>
    <row r="39" spans="1:15" x14ac:dyDescent="0.3">
      <c r="A39" s="1082"/>
      <c r="B39" s="1082"/>
      <c r="C39" s="1082"/>
      <c r="D39" s="1082"/>
      <c r="E39" s="1082"/>
      <c r="F39" s="1082"/>
      <c r="G39" s="1082"/>
      <c r="H39" s="1082"/>
      <c r="I39" s="1082"/>
      <c r="K39" s="1173"/>
      <c r="L39" s="1196" t="s">
        <v>1041</v>
      </c>
      <c r="M39" s="1197" t="s">
        <v>1042</v>
      </c>
      <c r="N39" s="1171"/>
      <c r="O39" s="1171"/>
    </row>
    <row r="40" spans="1:15" x14ac:dyDescent="0.3">
      <c r="A40" s="1082"/>
      <c r="B40" s="1082"/>
      <c r="C40" s="1082"/>
      <c r="D40" s="1082"/>
      <c r="E40" s="1082"/>
      <c r="F40" s="1082"/>
      <c r="G40" s="1082"/>
      <c r="H40" s="1082"/>
      <c r="I40" s="1082"/>
      <c r="K40" s="1174">
        <v>50</v>
      </c>
      <c r="L40" s="1175">
        <f>+(L$35*$K40^L$36)</f>
        <v>3.5073567843659221</v>
      </c>
      <c r="M40" s="1175">
        <f>+$N$35*K40+$O$35</f>
        <v>4.2294652645856425</v>
      </c>
      <c r="N40" s="705"/>
      <c r="O40" s="705"/>
    </row>
    <row r="41" spans="1:15" x14ac:dyDescent="0.3">
      <c r="A41" s="1082"/>
      <c r="B41" s="1082"/>
      <c r="C41" s="1082"/>
      <c r="D41" s="1082"/>
      <c r="E41" s="1082"/>
      <c r="F41" s="1082"/>
      <c r="G41" s="1082"/>
      <c r="H41" s="1082"/>
      <c r="I41" s="1082"/>
      <c r="K41" s="1075" t="s">
        <v>911</v>
      </c>
    </row>
    <row r="42" spans="1:15" x14ac:dyDescent="0.3">
      <c r="A42" s="205" t="s">
        <v>998</v>
      </c>
      <c r="B42" s="72"/>
      <c r="C42" s="72"/>
      <c r="D42" s="72"/>
      <c r="E42" s="72"/>
      <c r="F42" s="72"/>
      <c r="G42" s="72"/>
      <c r="H42" s="1082"/>
      <c r="I42" s="1082"/>
      <c r="K42" s="704">
        <v>50</v>
      </c>
      <c r="L42" s="1708">
        <f>IF(L$37&gt;$N$37,L40,M40)</f>
        <v>4.2294652645856425</v>
      </c>
      <c r="M42" s="1709"/>
      <c r="N42" s="325"/>
      <c r="O42" s="325"/>
    </row>
    <row r="43" spans="1:15" x14ac:dyDescent="0.3">
      <c r="A43" s="205"/>
      <c r="B43" s="72"/>
      <c r="C43" s="72"/>
      <c r="D43" s="72"/>
      <c r="E43" s="72"/>
      <c r="F43" s="72"/>
      <c r="G43" s="72"/>
      <c r="H43" s="1082"/>
      <c r="I43" s="1082"/>
    </row>
    <row r="44" spans="1:15" x14ac:dyDescent="0.3">
      <c r="A44" s="72" t="s">
        <v>175</v>
      </c>
      <c r="B44" s="123" t="s">
        <v>176</v>
      </c>
      <c r="C44" s="10">
        <v>50</v>
      </c>
      <c r="D44" s="72"/>
      <c r="E44" s="72"/>
      <c r="F44" s="72"/>
      <c r="G44" s="72"/>
      <c r="H44" s="1082"/>
      <c r="I44" s="1082"/>
      <c r="K44" s="1164" t="s">
        <v>1061</v>
      </c>
      <c r="L44" s="1164"/>
    </row>
    <row r="45" spans="1:15" ht="22.8" x14ac:dyDescent="0.3">
      <c r="A45" s="229" t="s">
        <v>999</v>
      </c>
      <c r="B45" s="229" t="s">
        <v>177</v>
      </c>
      <c r="C45" s="229" t="s">
        <v>178</v>
      </c>
      <c r="D45" s="1674" t="s">
        <v>674</v>
      </c>
      <c r="E45" s="1675"/>
      <c r="F45" s="1675"/>
      <c r="G45" s="1676"/>
      <c r="H45" s="1672" t="s">
        <v>15</v>
      </c>
      <c r="I45" s="1673"/>
      <c r="K45" s="1075" t="s">
        <v>576</v>
      </c>
      <c r="L45" s="163"/>
      <c r="N45" s="1075" t="s">
        <v>908</v>
      </c>
    </row>
    <row r="46" spans="1:15" ht="14.4" customHeight="1" x14ac:dyDescent="0.3">
      <c r="A46" s="1268" t="s">
        <v>179</v>
      </c>
      <c r="B46" s="1188">
        <v>30</v>
      </c>
      <c r="C46" s="10">
        <v>30</v>
      </c>
      <c r="D46" s="1677" t="s">
        <v>675</v>
      </c>
      <c r="E46" s="1678"/>
      <c r="F46" s="1678"/>
      <c r="G46" s="1679"/>
      <c r="H46" s="208" t="s">
        <v>16</v>
      </c>
      <c r="I46" s="209" t="s">
        <v>17</v>
      </c>
      <c r="K46" s="1123" t="s">
        <v>580</v>
      </c>
      <c r="L46" s="1123" t="s">
        <v>455</v>
      </c>
      <c r="M46" s="1123" t="s">
        <v>1039</v>
      </c>
      <c r="N46" s="702" t="s">
        <v>909</v>
      </c>
      <c r="O46" s="703" t="s">
        <v>454</v>
      </c>
    </row>
    <row r="47" spans="1:15" x14ac:dyDescent="0.3">
      <c r="A47" s="1268" t="s">
        <v>180</v>
      </c>
      <c r="B47" s="1188">
        <v>30</v>
      </c>
      <c r="C47" s="10">
        <v>31</v>
      </c>
      <c r="D47" s="1677"/>
      <c r="E47" s="1678"/>
      <c r="F47" s="1678"/>
      <c r="G47" s="1679"/>
      <c r="H47" s="210"/>
      <c r="I47" s="211"/>
      <c r="K47" s="701" t="s">
        <v>577</v>
      </c>
      <c r="L47" s="702" cm="1">
        <f t="array" ref="L47">EXP(INDEX(LINEST(LN($A$11:$A$13),LN($D$11:$D$13)),1,2))</f>
        <v>632.4154510226017</v>
      </c>
      <c r="M47" s="1168"/>
      <c r="N47" s="1079" cm="1">
        <f t="array" ref="N47:O47">LINEST(A11:A13,D11:D13)</f>
        <v>-9.7297297297297303E-2</v>
      </c>
      <c r="O47" s="1079">
        <v>9.1999999999999993</v>
      </c>
    </row>
    <row r="48" spans="1:15" x14ac:dyDescent="0.3">
      <c r="A48" s="1268" t="s">
        <v>181</v>
      </c>
      <c r="B48" s="1188">
        <v>30</v>
      </c>
      <c r="C48" s="10">
        <v>29.5</v>
      </c>
      <c r="D48" s="1677"/>
      <c r="E48" s="1678"/>
      <c r="F48" s="1678"/>
      <c r="G48" s="1679"/>
      <c r="H48" s="210"/>
      <c r="I48" s="211"/>
      <c r="K48" s="1123" t="s">
        <v>454</v>
      </c>
      <c r="L48" s="703" cm="1">
        <f t="array" ref="L48">_xlfn.SINGLE(INDEX(LINEST(LN($A$11:$A$13),LN($D$11:$D$13),,),1))</f>
        <v>-1.3143380940333782</v>
      </c>
      <c r="M48" s="1168"/>
      <c r="N48" s="703"/>
      <c r="O48" s="703"/>
    </row>
    <row r="49" spans="1:15" x14ac:dyDescent="0.3">
      <c r="A49" s="1268" t="s">
        <v>182</v>
      </c>
      <c r="B49" s="1188">
        <v>30</v>
      </c>
      <c r="C49" s="10">
        <v>30.6</v>
      </c>
      <c r="D49" s="1680"/>
      <c r="E49" s="1681"/>
      <c r="F49" s="1681"/>
      <c r="G49" s="1682"/>
      <c r="H49" s="210"/>
      <c r="I49" s="211"/>
      <c r="K49" s="1123" t="s">
        <v>907</v>
      </c>
      <c r="L49" s="1168" cm="1">
        <f t="array" ref="L49">RSQ(LN($A$11:$A$13),LN($D$11:$D$13))</f>
        <v>0.93214323496199725</v>
      </c>
      <c r="M49" s="1168"/>
      <c r="N49" s="1079">
        <f>RSQ($A$11:$A$13,$D$11:$D$13)</f>
        <v>1</v>
      </c>
      <c r="O49" s="1168"/>
    </row>
    <row r="50" spans="1:15" x14ac:dyDescent="0.3">
      <c r="A50" s="1268" t="s">
        <v>183</v>
      </c>
      <c r="B50" s="1188">
        <v>30</v>
      </c>
      <c r="C50" s="10">
        <v>31.5</v>
      </c>
      <c r="D50" s="1683">
        <f>(_xlfn.STDEV.S(C46:C50))/C56</f>
        <v>2.6167657494817122E-2</v>
      </c>
      <c r="E50" s="1684"/>
      <c r="F50" s="1684"/>
      <c r="G50" s="1685"/>
      <c r="H50" s="212" t="str">
        <f>IF(D50&lt;=2%,"X","")</f>
        <v/>
      </c>
      <c r="I50" s="211"/>
      <c r="K50" s="1172" t="s">
        <v>1040</v>
      </c>
      <c r="L50" s="1686" t="s">
        <v>171</v>
      </c>
      <c r="M50" s="1687"/>
      <c r="N50" s="705"/>
      <c r="O50" s="705"/>
    </row>
    <row r="51" spans="1:15" ht="14.4" customHeight="1" x14ac:dyDescent="0.3">
      <c r="A51" s="1268" t="s">
        <v>184</v>
      </c>
      <c r="B51" s="1188">
        <v>30</v>
      </c>
      <c r="C51" s="10">
        <v>30</v>
      </c>
      <c r="D51" s="1674" t="s">
        <v>676</v>
      </c>
      <c r="E51" s="1675"/>
      <c r="F51" s="1675"/>
      <c r="G51" s="1676"/>
      <c r="H51" s="210"/>
      <c r="I51" s="211"/>
      <c r="K51" s="1173"/>
      <c r="L51" s="1196" t="s">
        <v>1041</v>
      </c>
      <c r="M51" s="1197" t="s">
        <v>1042</v>
      </c>
      <c r="N51" s="1171"/>
      <c r="O51" s="1171"/>
    </row>
    <row r="52" spans="1:15" x14ac:dyDescent="0.3">
      <c r="A52" s="1268" t="s">
        <v>185</v>
      </c>
      <c r="B52" s="1188">
        <v>30</v>
      </c>
      <c r="C52" s="10">
        <v>30</v>
      </c>
      <c r="D52" s="1677"/>
      <c r="E52" s="1678"/>
      <c r="F52" s="1678"/>
      <c r="G52" s="1679"/>
      <c r="H52" s="210"/>
      <c r="I52" s="211"/>
      <c r="K52" s="1174">
        <v>50</v>
      </c>
      <c r="L52" s="1175">
        <f>+(L47*$K52^L$48)</f>
        <v>3.6981240465344762</v>
      </c>
      <c r="M52" s="1175">
        <f>+$N$47*K52+$O$47</f>
        <v>4.3351351351351344</v>
      </c>
      <c r="N52" s="705"/>
      <c r="O52" s="705"/>
    </row>
    <row r="53" spans="1:15" x14ac:dyDescent="0.3">
      <c r="A53" s="1268" t="s">
        <v>186</v>
      </c>
      <c r="B53" s="1188">
        <v>30</v>
      </c>
      <c r="C53" s="10">
        <v>30</v>
      </c>
      <c r="D53" s="1677"/>
      <c r="E53" s="1678"/>
      <c r="F53" s="1678"/>
      <c r="G53" s="1679"/>
      <c r="H53" s="210"/>
      <c r="I53" s="211"/>
      <c r="K53" s="1075" t="s">
        <v>911</v>
      </c>
    </row>
    <row r="54" spans="1:15" x14ac:dyDescent="0.3">
      <c r="A54" s="1268" t="s">
        <v>187</v>
      </c>
      <c r="B54" s="1188">
        <v>30</v>
      </c>
      <c r="C54" s="10">
        <v>30</v>
      </c>
      <c r="D54" s="1677"/>
      <c r="E54" s="1678"/>
      <c r="F54" s="1678"/>
      <c r="G54" s="1679"/>
      <c r="H54" s="210"/>
      <c r="I54" s="211"/>
      <c r="K54" s="704">
        <v>50</v>
      </c>
      <c r="L54" s="1708">
        <f>IF(L$49&gt;$N$49,L52,M52)</f>
        <v>4.3351351351351344</v>
      </c>
      <c r="M54" s="1709"/>
      <c r="N54" s="325"/>
      <c r="O54" s="325"/>
    </row>
    <row r="55" spans="1:15" x14ac:dyDescent="0.3">
      <c r="A55" s="1268" t="s">
        <v>188</v>
      </c>
      <c r="B55" s="1188">
        <v>30</v>
      </c>
      <c r="C55" s="10">
        <v>30</v>
      </c>
      <c r="D55" s="1680"/>
      <c r="E55" s="1681"/>
      <c r="F55" s="1681"/>
      <c r="G55" s="1682"/>
      <c r="H55" s="210"/>
      <c r="I55" s="211"/>
    </row>
    <row r="56" spans="1:15" x14ac:dyDescent="0.3">
      <c r="A56" s="207" t="s">
        <v>189</v>
      </c>
      <c r="B56" s="210"/>
      <c r="C56" s="228">
        <f>AVERAGE(C46:C55)</f>
        <v>30.26</v>
      </c>
      <c r="D56" s="1668">
        <f>IF(OR(COUNTBLANK(C51:C55)=5,D50&lt;=2%),"",(_xlfn.STDEV.S(C46:C55))/C56)</f>
        <v>1.9656054658026407E-2</v>
      </c>
      <c r="E56" s="1669"/>
      <c r="F56" s="1669"/>
      <c r="G56" s="1670"/>
      <c r="H56" s="212" t="str">
        <f>IF(D56&lt;=0.02,"X","")</f>
        <v>X</v>
      </c>
      <c r="I56" s="212" t="str">
        <f>IF(D56&lt;=0.02,"","X")</f>
        <v/>
      </c>
      <c r="K56" s="1164" t="s">
        <v>1054</v>
      </c>
    </row>
    <row r="57" spans="1:15" x14ac:dyDescent="0.3">
      <c r="A57" s="214" t="s">
        <v>784</v>
      </c>
      <c r="B57" s="215"/>
      <c r="C57" s="215"/>
      <c r="D57" s="215"/>
      <c r="E57" s="215"/>
      <c r="F57" s="215"/>
      <c r="G57" s="215"/>
      <c r="K57" s="1164" t="s">
        <v>1055</v>
      </c>
    </row>
    <row r="58" spans="1:15" x14ac:dyDescent="0.3">
      <c r="A58" s="214" t="s">
        <v>813</v>
      </c>
      <c r="B58" s="215"/>
      <c r="C58" s="215"/>
      <c r="D58" s="215"/>
      <c r="E58" s="215"/>
      <c r="F58" s="215"/>
      <c r="G58" s="215"/>
      <c r="L58" s="163"/>
      <c r="N58" s="1075" t="s">
        <v>908</v>
      </c>
    </row>
    <row r="59" spans="1:15" x14ac:dyDescent="0.3">
      <c r="A59" s="1184"/>
      <c r="B59" s="1184"/>
      <c r="C59" s="1012"/>
      <c r="D59" s="1012"/>
      <c r="K59" s="1123"/>
      <c r="L59" s="1123"/>
      <c r="M59" s="1123" t="s">
        <v>1039</v>
      </c>
      <c r="N59" s="702" t="s">
        <v>909</v>
      </c>
      <c r="O59" s="703" t="s">
        <v>454</v>
      </c>
    </row>
    <row r="60" spans="1:15" x14ac:dyDescent="0.3">
      <c r="A60" s="1203" t="s">
        <v>778</v>
      </c>
      <c r="B60" s="1203"/>
      <c r="C60" s="1211"/>
      <c r="D60" s="1535"/>
      <c r="E60" s="1535"/>
      <c r="F60" s="1535"/>
      <c r="G60" s="1535"/>
      <c r="H60" s="1535"/>
      <c r="I60" s="1535"/>
      <c r="K60" s="701"/>
      <c r="L60" s="702"/>
      <c r="M60" s="1168"/>
      <c r="N60" s="1079" cm="1">
        <f t="array" ref="N60:O60">LINEST(A11:A12,D11:D12)</f>
        <v>-9.7297297297297289E-2</v>
      </c>
      <c r="O60" s="1079">
        <v>9.1999999999999993</v>
      </c>
    </row>
    <row r="61" spans="1:15" x14ac:dyDescent="0.3">
      <c r="A61" s="1535"/>
      <c r="B61" s="1535"/>
      <c r="C61" s="1535"/>
      <c r="D61" s="1535"/>
      <c r="E61" s="1535"/>
      <c r="F61" s="1535"/>
      <c r="G61" s="1535"/>
      <c r="H61" s="1535"/>
      <c r="I61" s="1535"/>
      <c r="K61" s="1123"/>
      <c r="L61" s="703"/>
      <c r="M61" s="1168"/>
      <c r="N61" s="703"/>
      <c r="O61" s="703"/>
    </row>
    <row r="62" spans="1:15" x14ac:dyDescent="0.3">
      <c r="A62" s="1535"/>
      <c r="B62" s="1535"/>
      <c r="C62" s="1535"/>
      <c r="D62" s="1535"/>
      <c r="E62" s="1535"/>
      <c r="F62" s="1535"/>
      <c r="G62" s="1535"/>
      <c r="H62" s="1535"/>
      <c r="I62" s="1535"/>
      <c r="J62" s="1123" t="s">
        <v>490</v>
      </c>
      <c r="K62" s="1123"/>
      <c r="L62" s="1168"/>
      <c r="M62" s="1168"/>
      <c r="N62" s="1079">
        <f>RSQ(A11:A12,D11:D12)</f>
        <v>1</v>
      </c>
      <c r="O62" s="1168"/>
    </row>
    <row r="63" spans="1:15" x14ac:dyDescent="0.3">
      <c r="A63" s="1535"/>
      <c r="B63" s="1535"/>
      <c r="C63" s="1535"/>
      <c r="D63" s="1535"/>
      <c r="E63" s="1535"/>
      <c r="F63" s="1535"/>
      <c r="G63" s="1535"/>
      <c r="H63" s="1535"/>
      <c r="I63" s="1535"/>
      <c r="J63" s="6">
        <f>COUNTIF(I56,"X")</f>
        <v>0</v>
      </c>
      <c r="K63" s="1172" t="s">
        <v>1040</v>
      </c>
      <c r="L63" s="1686" t="s">
        <v>171</v>
      </c>
      <c r="M63" s="1687"/>
      <c r="N63" s="705"/>
      <c r="O63" s="705"/>
    </row>
    <row r="64" spans="1:15" x14ac:dyDescent="0.3">
      <c r="K64" s="1173"/>
      <c r="L64" s="1196" t="s">
        <v>1041</v>
      </c>
      <c r="M64" s="1197" t="s">
        <v>1042</v>
      </c>
      <c r="N64" s="1171"/>
      <c r="O64" s="1171"/>
    </row>
    <row r="65" spans="11:15" x14ac:dyDescent="0.3">
      <c r="K65" s="1174">
        <v>50</v>
      </c>
      <c r="L65" s="1175"/>
      <c r="M65" s="1175">
        <f>+$N$60*K65+$O$60</f>
        <v>4.3351351351351353</v>
      </c>
      <c r="N65" s="705"/>
      <c r="O65" s="705"/>
    </row>
    <row r="66" spans="11:15" x14ac:dyDescent="0.3">
      <c r="K66" s="1075" t="s">
        <v>911</v>
      </c>
    </row>
    <row r="67" spans="11:15" x14ac:dyDescent="0.3">
      <c r="K67" s="704">
        <v>50</v>
      </c>
      <c r="L67" s="1708">
        <f>M65</f>
        <v>4.3351351351351353</v>
      </c>
      <c r="M67" s="1709"/>
      <c r="N67" s="325"/>
      <c r="O67" s="325"/>
    </row>
  </sheetData>
  <sheetProtection algorithmName="SHA-512" hashValue="Qrdm4VuJV8ZCwCRIsGwY61LJSDMeTVZAykJYeygVnSEceIMwjyNzUkqOP/VIRTY5SI+j3Ic4FxPgCc9JIIvURQ==" saltValue="zpnWgXzg2XkdrluehFqF0g==" spinCount="100000" sheet="1" objects="1" scenarios="1"/>
  <mergeCells count="32">
    <mergeCell ref="L50:M50"/>
    <mergeCell ref="L54:M54"/>
    <mergeCell ref="L63:M63"/>
    <mergeCell ref="L67:M67"/>
    <mergeCell ref="L42:M42"/>
    <mergeCell ref="L38:M38"/>
    <mergeCell ref="A30:B30"/>
    <mergeCell ref="A28:B29"/>
    <mergeCell ref="H28:I28"/>
    <mergeCell ref="C6:D6"/>
    <mergeCell ref="C21:D21"/>
    <mergeCell ref="C22:D24"/>
    <mergeCell ref="H21:I21"/>
    <mergeCell ref="H23:H24"/>
    <mergeCell ref="I23:I24"/>
    <mergeCell ref="E16:F16"/>
    <mergeCell ref="H15:I15"/>
    <mergeCell ref="D56:G56"/>
    <mergeCell ref="A61:I61"/>
    <mergeCell ref="A62:I62"/>
    <mergeCell ref="A63:I63"/>
    <mergeCell ref="A31:B31"/>
    <mergeCell ref="D60:I60"/>
    <mergeCell ref="D34:I34"/>
    <mergeCell ref="A35:I35"/>
    <mergeCell ref="A36:I36"/>
    <mergeCell ref="A37:I37"/>
    <mergeCell ref="H45:I45"/>
    <mergeCell ref="D45:G45"/>
    <mergeCell ref="D46:G49"/>
    <mergeCell ref="D50:G50"/>
    <mergeCell ref="D51:G55"/>
  </mergeCells>
  <conditionalFormatting sqref="D50">
    <cfRule type="cellIs" dxfId="93" priority="4" operator="greaterThan">
      <formula>0.02</formula>
    </cfRule>
  </conditionalFormatting>
  <conditionalFormatting sqref="D56">
    <cfRule type="expression" dxfId="92" priority="3">
      <formula>$I$56="X"</formula>
    </cfRule>
  </conditionalFormatting>
  <conditionalFormatting sqref="D17">
    <cfRule type="cellIs" dxfId="91" priority="1" operator="lessThan">
      <formula>$F$17</formula>
    </cfRule>
  </conditionalFormatting>
  <dataValidations count="2">
    <dataValidation type="list" allowBlank="1" showInputMessage="1" showErrorMessage="1" sqref="A8 A23" xr:uid="{5F822CD8-2A0E-4634-A576-549B1122FFA4}">
      <formula1>$N$11:$N$18</formula1>
    </dataValidation>
    <dataValidation type="list" allowBlank="1" showInputMessage="1" showErrorMessage="1" sqref="A11:A14" xr:uid="{78D7FA61-EC56-4345-BB28-1BF4CC2A467D}">
      <formula1>$O$2:$O$12</formula1>
    </dataValidation>
  </dataValidations>
  <printOptions horizontalCentered="1"/>
  <pageMargins left="0.70866141732283472" right="0.70866141732283472" top="0.74803149606299213" bottom="0.74803149606299213" header="0.31496062992125984" footer="0.31496062992125984"/>
  <pageSetup scale="73" orientation="portrait" r:id="rId1"/>
  <headerFooter>
    <oddFooter>&amp;CPage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1">
    <tabColor theme="3" tint="-0.249977111117893"/>
    <pageSetUpPr fitToPage="1"/>
  </sheetPr>
  <dimension ref="A1:R79"/>
  <sheetViews>
    <sheetView topLeftCell="A21" workbookViewId="0">
      <selection activeCell="B10" sqref="B10"/>
    </sheetView>
  </sheetViews>
  <sheetFormatPr baseColWidth="10" defaultColWidth="10.6640625" defaultRowHeight="14.4" x14ac:dyDescent="0.3"/>
  <cols>
    <col min="1" max="1" width="29.33203125" style="1075" customWidth="1"/>
    <col min="2" max="2" width="13" style="1075" customWidth="1"/>
    <col min="3" max="3" width="12.33203125" style="1075" customWidth="1"/>
    <col min="4" max="4" width="12.88671875" style="1075" customWidth="1"/>
    <col min="5" max="5" width="10.6640625" style="1075"/>
    <col min="6" max="6" width="11.6640625" style="1075" bestFit="1" customWidth="1"/>
    <col min="7" max="8" width="10.6640625" style="1075"/>
    <col min="9" max="9" width="5.33203125" style="1075" customWidth="1"/>
    <col min="10" max="10" width="10.6640625" style="1075"/>
    <col min="11" max="11" width="14.5546875" style="1075" customWidth="1"/>
    <col min="12" max="16384" width="10.6640625" style="1075"/>
  </cols>
  <sheetData>
    <row r="1" spans="1:16" x14ac:dyDescent="0.3">
      <c r="A1" s="53" t="s">
        <v>753</v>
      </c>
      <c r="B1" s="54" t="str">
        <f>+Info!C10</f>
        <v>Clinique Ste-Mammo</v>
      </c>
      <c r="C1" s="55"/>
      <c r="D1" s="55"/>
      <c r="E1" s="56" t="s">
        <v>755</v>
      </c>
      <c r="F1" s="55"/>
      <c r="G1" s="203" t="str">
        <f>+Info!C37</f>
        <v>20-01-2020</v>
      </c>
      <c r="H1" s="1080"/>
      <c r="I1" s="1076"/>
      <c r="J1" s="932" t="s">
        <v>200</v>
      </c>
      <c r="K1" s="1025" t="s">
        <v>1003</v>
      </c>
      <c r="L1" s="1076"/>
      <c r="M1" s="1076"/>
      <c r="N1" s="1076"/>
      <c r="O1" s="1076"/>
    </row>
    <row r="2" spans="1:16" x14ac:dyDescent="0.3">
      <c r="A2" s="58" t="s">
        <v>754</v>
      </c>
      <c r="B2" s="59" t="str">
        <f>+Info!C21</f>
        <v>Salle 2, Hirad IV</v>
      </c>
      <c r="C2" s="51"/>
      <c r="D2" s="51"/>
      <c r="E2" s="60" t="s">
        <v>756</v>
      </c>
      <c r="F2" s="51"/>
      <c r="G2" s="61" t="str">
        <f>+Info!C35</f>
        <v>Alexandre Toussaint</v>
      </c>
      <c r="H2" s="1080"/>
      <c r="I2" s="1076"/>
      <c r="J2" s="917" t="s">
        <v>66</v>
      </c>
      <c r="K2" s="1128">
        <v>7</v>
      </c>
      <c r="L2" s="936"/>
      <c r="M2" s="936"/>
      <c r="N2" s="936"/>
      <c r="O2" s="936"/>
      <c r="P2" s="914"/>
    </row>
    <row r="3" spans="1:16" x14ac:dyDescent="0.3">
      <c r="A3" s="62"/>
      <c r="B3" s="62"/>
      <c r="C3" s="62"/>
      <c r="D3" s="62"/>
      <c r="E3" s="62"/>
      <c r="F3" s="62"/>
      <c r="G3" s="62"/>
      <c r="H3" s="62"/>
      <c r="I3" s="104"/>
      <c r="J3" s="917" t="s">
        <v>123</v>
      </c>
      <c r="K3" s="1128">
        <v>6.02</v>
      </c>
      <c r="L3" s="936"/>
      <c r="M3" s="936"/>
      <c r="N3" s="936"/>
      <c r="O3" s="936"/>
      <c r="P3" s="914"/>
    </row>
    <row r="4" spans="1:16" ht="17.399999999999999" x14ac:dyDescent="0.3">
      <c r="A4" s="205" t="s">
        <v>997</v>
      </c>
      <c r="B4" s="72"/>
      <c r="C4" s="72"/>
      <c r="D4" s="72"/>
      <c r="E4" s="72"/>
      <c r="F4" s="72"/>
      <c r="G4" s="72"/>
      <c r="H4" s="72"/>
      <c r="I4" s="934"/>
      <c r="J4" s="917" t="s">
        <v>124</v>
      </c>
      <c r="K4" s="1128">
        <v>4.0599999999999996</v>
      </c>
      <c r="L4" s="937"/>
      <c r="M4" s="937"/>
      <c r="N4" s="937"/>
      <c r="O4" s="937"/>
      <c r="P4" s="938"/>
    </row>
    <row r="5" spans="1:16" ht="17.399999999999999" x14ac:dyDescent="0.3">
      <c r="A5" s="214"/>
      <c r="B5" s="215"/>
      <c r="C5" s="215"/>
      <c r="D5" s="215"/>
      <c r="E5" s="215"/>
      <c r="H5" s="72"/>
      <c r="I5" s="934"/>
      <c r="J5" s="917" t="s">
        <v>202</v>
      </c>
      <c r="K5" s="1128"/>
      <c r="L5" s="937"/>
      <c r="M5" s="937"/>
      <c r="N5" s="937"/>
      <c r="O5" s="937"/>
      <c r="P5" s="938"/>
    </row>
    <row r="6" spans="1:16" ht="17.399999999999999" x14ac:dyDescent="0.3">
      <c r="A6" s="217" t="s">
        <v>1004</v>
      </c>
      <c r="B6" s="123" t="s">
        <v>244</v>
      </c>
      <c r="C6" s="1028" t="s">
        <v>66</v>
      </c>
      <c r="D6" s="123" t="s">
        <v>176</v>
      </c>
      <c r="E6" s="10">
        <v>50</v>
      </c>
      <c r="F6" s="52"/>
      <c r="G6" s="52"/>
      <c r="I6" s="934"/>
      <c r="J6" s="917" t="s">
        <v>203</v>
      </c>
      <c r="K6" s="1128"/>
      <c r="L6" s="937"/>
      <c r="M6" s="937"/>
      <c r="N6" s="937"/>
      <c r="O6" s="937"/>
      <c r="P6" s="938"/>
    </row>
    <row r="7" spans="1:16" ht="27.6" customHeight="1" x14ac:dyDescent="0.3">
      <c r="A7" s="556" t="s">
        <v>677</v>
      </c>
      <c r="B7" s="529" t="s">
        <v>193</v>
      </c>
      <c r="C7" s="1713" t="s">
        <v>194</v>
      </c>
      <c r="D7" s="1714"/>
      <c r="E7" s="38" t="s">
        <v>16</v>
      </c>
      <c r="G7" s="52"/>
      <c r="H7" s="206"/>
      <c r="I7" s="935"/>
      <c r="J7" s="917" t="s">
        <v>204</v>
      </c>
      <c r="K7" s="1128">
        <v>2.66</v>
      </c>
      <c r="L7" s="937"/>
      <c r="M7" s="937"/>
      <c r="N7" s="937"/>
      <c r="O7" s="937"/>
      <c r="P7" s="914"/>
    </row>
    <row r="8" spans="1:16" ht="14.1" customHeight="1" x14ac:dyDescent="0.3">
      <c r="A8" s="1519" t="s">
        <v>678</v>
      </c>
      <c r="B8" s="1718" t="s">
        <v>680</v>
      </c>
      <c r="C8" s="1718" t="s">
        <v>1005</v>
      </c>
      <c r="D8" s="1718" t="s">
        <v>190</v>
      </c>
      <c r="E8" s="1719" t="s">
        <v>191</v>
      </c>
      <c r="F8" s="1720" t="s">
        <v>15</v>
      </c>
      <c r="G8" s="1720"/>
      <c r="H8" s="206"/>
      <c r="I8" s="935"/>
      <c r="J8" s="918" t="s">
        <v>912</v>
      </c>
      <c r="K8" s="1128"/>
      <c r="L8" s="937"/>
      <c r="M8" s="937"/>
      <c r="N8" s="937"/>
      <c r="O8" s="937"/>
      <c r="P8" s="914"/>
    </row>
    <row r="9" spans="1:16" ht="14.1" customHeight="1" x14ac:dyDescent="0.3">
      <c r="A9" s="1532"/>
      <c r="B9" s="1718"/>
      <c r="C9" s="1718"/>
      <c r="D9" s="1718"/>
      <c r="E9" s="1532"/>
      <c r="F9" s="1195" t="s">
        <v>109</v>
      </c>
      <c r="G9" s="1195" t="s">
        <v>192</v>
      </c>
      <c r="H9" s="206"/>
      <c r="I9" s="935"/>
      <c r="J9" s="1024"/>
      <c r="K9" s="1024"/>
      <c r="L9" s="937"/>
      <c r="M9" s="937"/>
      <c r="N9" s="937"/>
      <c r="O9" s="937"/>
      <c r="P9" s="914"/>
    </row>
    <row r="10" spans="1:16" ht="14.1" customHeight="1" x14ac:dyDescent="0.3">
      <c r="A10" s="35">
        <v>24</v>
      </c>
      <c r="B10" s="36">
        <v>24</v>
      </c>
      <c r="C10" s="46">
        <f>IF(COUNTIF(B10,""),"",(ABS((A10-B10)/A10)))</f>
        <v>0</v>
      </c>
      <c r="D10" s="37">
        <v>100</v>
      </c>
      <c r="E10" s="218">
        <f t="shared" ref="E10:E18" si="0">+D10/$E$28</f>
        <v>2</v>
      </c>
      <c r="F10" s="47" t="str">
        <f>IF(B10="","",IF(C10&lt;=0.05,"X",""))</f>
        <v>X</v>
      </c>
      <c r="G10" s="47" t="str">
        <f>IF(B10="","",IF(C10&lt;=0.05,"","X"))</f>
        <v/>
      </c>
      <c r="H10" s="206"/>
      <c r="I10" s="935"/>
      <c r="O10" s="937"/>
      <c r="P10" s="914"/>
    </row>
    <row r="11" spans="1:16" ht="14.1" customHeight="1" x14ac:dyDescent="0.3">
      <c r="A11" s="39">
        <v>25</v>
      </c>
      <c r="B11" s="40">
        <v>24</v>
      </c>
      <c r="C11" s="46">
        <f t="shared" ref="C11:C20" si="1">IF(COUNTIF(B11,""),"",(ABS((A11-B11)/A11)))</f>
        <v>0.04</v>
      </c>
      <c r="D11" s="41">
        <v>120</v>
      </c>
      <c r="E11" s="218">
        <f t="shared" si="0"/>
        <v>2.4</v>
      </c>
      <c r="F11" s="47" t="str">
        <f t="shared" ref="F11:F20" si="2">IF(B11="","",IF(C11&lt;=0.05,"X",""))</f>
        <v>X</v>
      </c>
      <c r="G11" s="47" t="str">
        <f t="shared" ref="G11:G20" si="3">IF(B11="","",IF(C11&lt;=0.05,"","X"))</f>
        <v/>
      </c>
      <c r="H11" s="206"/>
      <c r="I11" s="935"/>
      <c r="O11" s="937"/>
      <c r="P11" s="914"/>
    </row>
    <row r="12" spans="1:16" ht="14.1" customHeight="1" x14ac:dyDescent="0.3">
      <c r="A12" s="39">
        <v>26</v>
      </c>
      <c r="B12" s="40">
        <v>28</v>
      </c>
      <c r="C12" s="46">
        <f t="shared" si="1"/>
        <v>7.6923076923076927E-2</v>
      </c>
      <c r="D12" s="37">
        <v>140</v>
      </c>
      <c r="E12" s="218">
        <f t="shared" si="0"/>
        <v>2.8</v>
      </c>
      <c r="F12" s="47" t="str">
        <f t="shared" si="2"/>
        <v/>
      </c>
      <c r="G12" s="47" t="str">
        <f t="shared" si="3"/>
        <v>X</v>
      </c>
      <c r="H12" s="1078"/>
      <c r="I12" s="935"/>
      <c r="J12" s="944" t="s">
        <v>905</v>
      </c>
      <c r="K12" s="945"/>
      <c r="L12" s="945"/>
      <c r="M12" s="945"/>
      <c r="N12" s="946"/>
      <c r="O12" s="937"/>
      <c r="P12" s="914"/>
    </row>
    <row r="13" spans="1:16" ht="14.1" customHeight="1" x14ac:dyDescent="0.3">
      <c r="A13" s="39">
        <v>27</v>
      </c>
      <c r="B13" s="40">
        <v>27.2</v>
      </c>
      <c r="C13" s="46">
        <f t="shared" si="1"/>
        <v>7.4074074074073808E-3</v>
      </c>
      <c r="D13" s="41">
        <v>160</v>
      </c>
      <c r="E13" s="218">
        <f t="shared" si="0"/>
        <v>3.2</v>
      </c>
      <c r="F13" s="47" t="str">
        <f t="shared" si="2"/>
        <v>X</v>
      </c>
      <c r="G13" s="47" t="str">
        <f t="shared" si="3"/>
        <v/>
      </c>
      <c r="H13" s="206"/>
      <c r="I13" s="935"/>
      <c r="J13" s="947" t="s">
        <v>530</v>
      </c>
      <c r="K13" s="948"/>
      <c r="L13" s="948"/>
      <c r="M13" s="948"/>
      <c r="N13" s="949"/>
      <c r="O13" s="937"/>
      <c r="P13" s="914"/>
    </row>
    <row r="14" spans="1:16" ht="14.1" customHeight="1" x14ac:dyDescent="0.3">
      <c r="A14" s="39">
        <v>28</v>
      </c>
      <c r="B14" s="40">
        <v>28.3</v>
      </c>
      <c r="C14" s="46">
        <f t="shared" si="1"/>
        <v>1.071428571428574E-2</v>
      </c>
      <c r="D14" s="37">
        <v>170</v>
      </c>
      <c r="E14" s="218">
        <f t="shared" si="0"/>
        <v>3.4</v>
      </c>
      <c r="F14" s="47" t="str">
        <f t="shared" si="2"/>
        <v>X</v>
      </c>
      <c r="G14" s="47" t="str">
        <f t="shared" si="3"/>
        <v/>
      </c>
      <c r="H14" s="206"/>
      <c r="I14" s="935"/>
      <c r="J14" s="950" t="s">
        <v>531</v>
      </c>
      <c r="K14" s="951"/>
      <c r="L14" s="951"/>
      <c r="M14" s="951"/>
      <c r="N14" s="952"/>
      <c r="O14" s="937"/>
      <c r="P14" s="914"/>
    </row>
    <row r="15" spans="1:16" ht="14.1" customHeight="1" x14ac:dyDescent="0.3">
      <c r="A15" s="39">
        <v>29</v>
      </c>
      <c r="B15" s="40">
        <v>29.4</v>
      </c>
      <c r="C15" s="46">
        <f t="shared" si="1"/>
        <v>1.3793103448275813E-2</v>
      </c>
      <c r="D15" s="41">
        <v>200</v>
      </c>
      <c r="E15" s="218">
        <f t="shared" si="0"/>
        <v>4</v>
      </c>
      <c r="F15" s="47" t="str">
        <f t="shared" si="2"/>
        <v>X</v>
      </c>
      <c r="G15" s="47" t="str">
        <f t="shared" si="3"/>
        <v/>
      </c>
      <c r="H15" s="206"/>
      <c r="I15" s="935"/>
      <c r="J15" s="937"/>
      <c r="K15" s="937"/>
      <c r="L15" s="937"/>
      <c r="M15" s="937"/>
      <c r="N15" s="937"/>
      <c r="O15" s="937"/>
      <c r="P15" s="914"/>
    </row>
    <row r="16" spans="1:16" ht="14.1" customHeight="1" x14ac:dyDescent="0.3">
      <c r="A16" s="39">
        <v>30</v>
      </c>
      <c r="B16" s="40">
        <v>30</v>
      </c>
      <c r="C16" s="46">
        <f t="shared" si="1"/>
        <v>0</v>
      </c>
      <c r="D16" s="37">
        <v>220</v>
      </c>
      <c r="E16" s="218">
        <f t="shared" si="0"/>
        <v>4.4000000000000004</v>
      </c>
      <c r="F16" s="47" t="str">
        <f t="shared" si="2"/>
        <v>X</v>
      </c>
      <c r="G16" s="47" t="str">
        <f t="shared" si="3"/>
        <v/>
      </c>
      <c r="H16" s="206"/>
      <c r="I16" s="943"/>
      <c r="J16" s="943"/>
      <c r="K16" s="943"/>
      <c r="L16" s="943"/>
      <c r="M16" s="937"/>
      <c r="N16" s="937"/>
      <c r="O16" s="937"/>
      <c r="P16" s="914"/>
    </row>
    <row r="17" spans="1:16" ht="14.1" customHeight="1" x14ac:dyDescent="0.3">
      <c r="A17" s="13">
        <v>31</v>
      </c>
      <c r="B17" s="40">
        <v>31.6</v>
      </c>
      <c r="C17" s="46">
        <f t="shared" si="1"/>
        <v>1.9354838709677465E-2</v>
      </c>
      <c r="D17" s="41">
        <v>240</v>
      </c>
      <c r="E17" s="218">
        <f t="shared" si="0"/>
        <v>4.8</v>
      </c>
      <c r="F17" s="47" t="str">
        <f t="shared" si="2"/>
        <v>X</v>
      </c>
      <c r="G17" s="47" t="str">
        <f t="shared" si="3"/>
        <v/>
      </c>
      <c r="H17" s="206"/>
      <c r="I17" s="943"/>
      <c r="J17" s="943"/>
      <c r="K17" s="943"/>
      <c r="L17" s="943"/>
      <c r="M17" s="937"/>
      <c r="N17" s="937"/>
      <c r="O17" s="937"/>
      <c r="P17" s="914"/>
    </row>
    <row r="18" spans="1:16" ht="14.1" customHeight="1" x14ac:dyDescent="0.3">
      <c r="A18" s="42">
        <v>32</v>
      </c>
      <c r="B18" s="40">
        <v>32</v>
      </c>
      <c r="C18" s="46">
        <f t="shared" si="1"/>
        <v>0</v>
      </c>
      <c r="D18" s="37">
        <v>260</v>
      </c>
      <c r="E18" s="218">
        <f t="shared" si="0"/>
        <v>5.2</v>
      </c>
      <c r="F18" s="47" t="str">
        <f t="shared" si="2"/>
        <v>X</v>
      </c>
      <c r="G18" s="47" t="str">
        <f t="shared" si="3"/>
        <v/>
      </c>
      <c r="H18" s="1078"/>
      <c r="I18" s="943"/>
      <c r="J18" s="943"/>
      <c r="K18" s="943"/>
      <c r="L18" s="943"/>
      <c r="M18" s="937"/>
      <c r="N18" s="937"/>
      <c r="O18" s="937"/>
      <c r="P18" s="914"/>
    </row>
    <row r="19" spans="1:16" s="1081" customFormat="1" ht="15.75" customHeight="1" x14ac:dyDescent="0.35">
      <c r="A19" s="13">
        <v>33</v>
      </c>
      <c r="B19" s="40">
        <v>35</v>
      </c>
      <c r="C19" s="46">
        <f t="shared" si="1"/>
        <v>6.0606060606060608E-2</v>
      </c>
      <c r="D19" s="41">
        <v>280</v>
      </c>
      <c r="E19" s="218">
        <v>5.4</v>
      </c>
      <c r="F19" s="47" t="str">
        <f t="shared" si="2"/>
        <v/>
      </c>
      <c r="G19" s="47" t="str">
        <f t="shared" si="3"/>
        <v>X</v>
      </c>
      <c r="H19" s="215"/>
      <c r="I19" s="939"/>
      <c r="J19" s="943"/>
      <c r="K19" s="943"/>
      <c r="L19" s="943"/>
      <c r="M19" s="943"/>
      <c r="N19" s="939"/>
      <c r="O19" s="939"/>
      <c r="P19" s="940"/>
    </row>
    <row r="20" spans="1:16" s="1077" customFormat="1" ht="12.75" customHeight="1" x14ac:dyDescent="0.3">
      <c r="A20" s="42">
        <v>34</v>
      </c>
      <c r="B20" s="40">
        <v>34.9</v>
      </c>
      <c r="C20" s="46">
        <f t="shared" si="1"/>
        <v>2.6470588235294076E-2</v>
      </c>
      <c r="D20" s="37">
        <v>300</v>
      </c>
      <c r="E20" s="218">
        <f>+D20/$E$28</f>
        <v>6</v>
      </c>
      <c r="F20" s="47" t="str">
        <f t="shared" si="2"/>
        <v>X</v>
      </c>
      <c r="G20" s="47" t="str">
        <f t="shared" si="3"/>
        <v/>
      </c>
      <c r="H20" s="215"/>
      <c r="I20" s="939"/>
      <c r="J20" s="939"/>
      <c r="K20" s="939"/>
      <c r="L20" s="939"/>
      <c r="M20" s="939"/>
      <c r="N20" s="939"/>
      <c r="O20" s="941"/>
      <c r="P20" s="913"/>
    </row>
    <row r="21" spans="1:16" ht="17.399999999999999" x14ac:dyDescent="0.3">
      <c r="A21" s="1519" t="s">
        <v>679</v>
      </c>
      <c r="B21" s="1715" t="s">
        <v>680</v>
      </c>
      <c r="C21" s="1718" t="s">
        <v>1005</v>
      </c>
      <c r="D21" s="1715" t="s">
        <v>190</v>
      </c>
      <c r="E21" s="1719" t="s">
        <v>191</v>
      </c>
      <c r="F21" s="1717" t="s">
        <v>15</v>
      </c>
      <c r="G21" s="1717"/>
      <c r="H21" s="52"/>
      <c r="I21" s="942"/>
      <c r="J21" s="942"/>
      <c r="K21" s="942"/>
      <c r="L21" s="942"/>
      <c r="M21" s="942"/>
      <c r="N21" s="942"/>
      <c r="O21" s="942"/>
      <c r="P21" s="938"/>
    </row>
    <row r="22" spans="1:16" ht="17.399999999999999" x14ac:dyDescent="0.3">
      <c r="A22" s="1532"/>
      <c r="B22" s="1715"/>
      <c r="C22" s="1718"/>
      <c r="D22" s="1715"/>
      <c r="E22" s="1582"/>
      <c r="F22" s="1195" t="s">
        <v>109</v>
      </c>
      <c r="G22" s="1195" t="s">
        <v>192</v>
      </c>
      <c r="H22" s="52"/>
      <c r="I22" s="942"/>
      <c r="J22" s="942"/>
      <c r="K22" s="942"/>
      <c r="L22" s="942"/>
      <c r="M22" s="942"/>
      <c r="N22" s="942"/>
      <c r="O22" s="942"/>
      <c r="P22" s="938"/>
    </row>
    <row r="23" spans="1:16" ht="17.399999999999999" x14ac:dyDescent="0.3">
      <c r="A23" s="39">
        <v>26</v>
      </c>
      <c r="B23" s="40">
        <v>26.1</v>
      </c>
      <c r="C23" s="46">
        <f>(ABS((A23-B23)/A23))</f>
        <v>3.846153846153901E-3</v>
      </c>
      <c r="D23" s="43">
        <v>200</v>
      </c>
      <c r="E23" s="220">
        <f>+D23/$E$28</f>
        <v>4</v>
      </c>
      <c r="F23" s="47" t="str">
        <f>IF(B23="","",IF(C23&lt;=0.05,"X",""))</f>
        <v>X</v>
      </c>
      <c r="G23" s="47" t="str">
        <f>IF(B23="","",IF(C23&lt;=0.05,"","X"))</f>
        <v/>
      </c>
      <c r="H23" s="206"/>
      <c r="I23" s="936"/>
      <c r="J23" s="936"/>
      <c r="K23" s="936"/>
      <c r="L23" s="936"/>
      <c r="M23" s="936"/>
      <c r="N23" s="936"/>
      <c r="O23" s="936"/>
      <c r="P23" s="914"/>
    </row>
    <row r="24" spans="1:16" ht="17.399999999999999" x14ac:dyDescent="0.3">
      <c r="A24" s="39">
        <v>28</v>
      </c>
      <c r="B24" s="40">
        <v>27.2</v>
      </c>
      <c r="C24" s="46">
        <f>(ABS((A24-B24)/A24))</f>
        <v>2.8571428571428598E-2</v>
      </c>
      <c r="D24" s="43">
        <v>220</v>
      </c>
      <c r="E24" s="220">
        <f>+D24/$E$28</f>
        <v>4.4000000000000004</v>
      </c>
      <c r="F24" s="47" t="str">
        <f>IF(B24="","",IF(C24&lt;=0.05,"X",""))</f>
        <v>X</v>
      </c>
      <c r="G24" s="47" t="str">
        <f>IF(B24="","",IF(C24&lt;=0.05,"","X"))</f>
        <v/>
      </c>
      <c r="H24" s="206"/>
      <c r="I24" s="1076"/>
      <c r="J24" s="1076"/>
      <c r="K24" s="1076"/>
      <c r="L24" s="1076"/>
      <c r="M24" s="1076"/>
      <c r="N24" s="1076"/>
      <c r="O24" s="1076"/>
    </row>
    <row r="25" spans="1:16" ht="14.1" customHeight="1" x14ac:dyDescent="0.3">
      <c r="A25" s="39">
        <v>30</v>
      </c>
      <c r="B25" s="40">
        <v>28.3</v>
      </c>
      <c r="C25" s="46">
        <f>(ABS((A25-B25)/A25))</f>
        <v>5.6666666666666643E-2</v>
      </c>
      <c r="D25" s="43">
        <v>240</v>
      </c>
      <c r="E25" s="220">
        <f>+D25/$E$28</f>
        <v>4.8</v>
      </c>
      <c r="F25" s="47" t="str">
        <f>IF(B25="","",IF(C25&lt;=0.05,"X",""))</f>
        <v/>
      </c>
      <c r="G25" s="47" t="str">
        <f>IF(B25="","",IF(C25&lt;=0.05,"","X"))</f>
        <v>X</v>
      </c>
      <c r="H25" s="1078"/>
      <c r="I25" s="1076"/>
      <c r="J25" s="1076"/>
      <c r="K25" s="1076"/>
      <c r="L25" s="1076"/>
      <c r="M25" s="1076"/>
      <c r="N25" s="1076"/>
      <c r="O25" s="1076"/>
    </row>
    <row r="26" spans="1:16" ht="14.1" customHeight="1" x14ac:dyDescent="0.3">
      <c r="A26" s="42">
        <v>32</v>
      </c>
      <c r="B26" s="44">
        <v>29.4</v>
      </c>
      <c r="C26" s="46">
        <f>(ABS((A26-B26)/A26))</f>
        <v>8.1250000000000044E-2</v>
      </c>
      <c r="D26" s="45">
        <v>260</v>
      </c>
      <c r="E26" s="1179">
        <f>+D26/$E$28</f>
        <v>5.2</v>
      </c>
      <c r="F26" s="1402" t="str">
        <f>IF(B26="","",IF(C26&lt;=0.05,"X",""))</f>
        <v/>
      </c>
      <c r="G26" s="47" t="str">
        <f>IF(B26="","",IF(C26&lt;=0.05,"","X"))</f>
        <v>X</v>
      </c>
      <c r="H26" s="1078"/>
      <c r="N26" s="1076"/>
      <c r="O26" s="1076"/>
    </row>
    <row r="27" spans="1:16" ht="7.8" customHeight="1" x14ac:dyDescent="0.3">
      <c r="A27" s="1403"/>
      <c r="B27" s="1403"/>
      <c r="C27" s="1404"/>
      <c r="D27" s="1405"/>
      <c r="E27" s="1407"/>
      <c r="F27" s="1406"/>
      <c r="G27" s="1406"/>
      <c r="H27" s="1078"/>
      <c r="N27" s="1076"/>
      <c r="O27" s="1076"/>
    </row>
    <row r="28" spans="1:16" ht="14.1" customHeight="1" x14ac:dyDescent="0.3">
      <c r="A28" s="1410" t="s">
        <v>1133</v>
      </c>
      <c r="B28" s="1408" t="s">
        <v>244</v>
      </c>
      <c r="C28" s="1409" t="s">
        <v>203</v>
      </c>
      <c r="D28" s="123" t="s">
        <v>176</v>
      </c>
      <c r="E28" s="10">
        <v>50</v>
      </c>
      <c r="G28" s="1080"/>
      <c r="H28" s="1078"/>
      <c r="I28" s="1164" t="s">
        <v>1131</v>
      </c>
      <c r="J28" s="1164"/>
      <c r="N28" s="1076"/>
      <c r="O28" s="1076"/>
    </row>
    <row r="29" spans="1:16" ht="14.1" customHeight="1" x14ac:dyDescent="0.3">
      <c r="A29" s="1519" t="s">
        <v>678</v>
      </c>
      <c r="B29" s="1715" t="s">
        <v>680</v>
      </c>
      <c r="C29" s="1718" t="s">
        <v>1005</v>
      </c>
      <c r="D29" s="1715" t="s">
        <v>190</v>
      </c>
      <c r="E29" s="1719" t="s">
        <v>191</v>
      </c>
      <c r="F29" s="1717" t="s">
        <v>15</v>
      </c>
      <c r="G29" s="1717"/>
      <c r="H29" s="1078"/>
      <c r="I29" s="1164" t="s">
        <v>1132</v>
      </c>
      <c r="J29" s="1076"/>
      <c r="K29" s="1076"/>
      <c r="L29" s="1076"/>
      <c r="M29" s="1076"/>
      <c r="N29" s="1076"/>
      <c r="O29" s="1076"/>
    </row>
    <row r="30" spans="1:16" ht="14.1" customHeight="1" x14ac:dyDescent="0.3">
      <c r="A30" s="1532"/>
      <c r="B30" s="1715"/>
      <c r="C30" s="1718"/>
      <c r="D30" s="1715"/>
      <c r="E30" s="1582"/>
      <c r="F30" s="1195" t="s">
        <v>109</v>
      </c>
      <c r="G30" s="1195" t="s">
        <v>192</v>
      </c>
      <c r="J30" s="1076"/>
      <c r="K30" s="1076"/>
      <c r="L30" s="1076"/>
      <c r="M30" s="1076"/>
      <c r="N30" s="1076"/>
      <c r="O30" s="1076"/>
    </row>
    <row r="31" spans="1:16" ht="14.1" customHeight="1" x14ac:dyDescent="0.3">
      <c r="A31" s="39">
        <v>32</v>
      </c>
      <c r="B31" s="40">
        <v>31</v>
      </c>
      <c r="C31" s="46">
        <f>(ABS((A31-B31)/A31))</f>
        <v>3.125E-2</v>
      </c>
      <c r="D31" s="43">
        <v>200</v>
      </c>
      <c r="E31" s="220">
        <f>+D31/$E$28</f>
        <v>4</v>
      </c>
      <c r="F31" s="47" t="str">
        <f>IF(B31="","",IF(C31&lt;=0.05,"X",""))</f>
        <v>X</v>
      </c>
      <c r="G31" s="47" t="str">
        <f>IF(B31="","",IF(C31&lt;=0.05,"","X"))</f>
        <v/>
      </c>
      <c r="I31" s="910" t="s">
        <v>1000</v>
      </c>
      <c r="J31" s="910"/>
      <c r="K31" s="910"/>
      <c r="L31" s="910"/>
      <c r="M31" s="910"/>
      <c r="N31" s="1076"/>
      <c r="O31" s="1076"/>
    </row>
    <row r="32" spans="1:16" ht="14.1" customHeight="1" x14ac:dyDescent="0.3">
      <c r="A32" s="39">
        <v>34</v>
      </c>
      <c r="B32" s="40">
        <v>33</v>
      </c>
      <c r="C32" s="46">
        <f>(ABS((A32-B32)/A32))</f>
        <v>2.9411764705882353E-2</v>
      </c>
      <c r="D32" s="43">
        <v>220</v>
      </c>
      <c r="E32" s="220">
        <f>+D32/$E$28</f>
        <v>4.4000000000000004</v>
      </c>
      <c r="F32" s="47" t="str">
        <f>IF(B32="","",IF(C32&lt;=0.05,"X",""))</f>
        <v>X</v>
      </c>
      <c r="G32" s="47" t="str">
        <f>IF(B32="","",IF(C32&lt;=0.05,"","X"))</f>
        <v/>
      </c>
      <c r="I32" s="910" t="s">
        <v>1006</v>
      </c>
      <c r="J32" s="910"/>
      <c r="K32" s="910"/>
      <c r="L32" s="910"/>
      <c r="M32" s="910"/>
      <c r="N32" s="1076"/>
      <c r="O32" s="1076"/>
    </row>
    <row r="33" spans="1:18" ht="14.1" customHeight="1" x14ac:dyDescent="0.3">
      <c r="A33" s="39">
        <v>36</v>
      </c>
      <c r="B33" s="40">
        <v>36.200000000000003</v>
      </c>
      <c r="C33" s="46">
        <f>(ABS((A33-B33)/A33))</f>
        <v>5.5555555555556347E-3</v>
      </c>
      <c r="D33" s="43">
        <v>240</v>
      </c>
      <c r="E33" s="220">
        <f>+D33/$E$28</f>
        <v>4.8</v>
      </c>
      <c r="F33" s="47" t="str">
        <f>IF(B33="","",IF(C33&lt;=0.05,"X",""))</f>
        <v>X</v>
      </c>
      <c r="G33" s="47" t="str">
        <f>IF(B33="","",IF(C33&lt;=0.05,"","X"))</f>
        <v/>
      </c>
      <c r="I33" s="1164" t="s">
        <v>1007</v>
      </c>
      <c r="J33" s="1076"/>
      <c r="K33" s="1076"/>
      <c r="L33" s="1076"/>
      <c r="M33" s="1076"/>
      <c r="N33" s="1076"/>
      <c r="O33" s="1076"/>
    </row>
    <row r="34" spans="1:18" ht="14.1" customHeight="1" x14ac:dyDescent="0.3">
      <c r="A34" s="42">
        <v>40</v>
      </c>
      <c r="B34" s="44">
        <v>39</v>
      </c>
      <c r="C34" s="46">
        <f>(ABS((A34-B34)/A34))</f>
        <v>2.5000000000000001E-2</v>
      </c>
      <c r="D34" s="45">
        <v>260</v>
      </c>
      <c r="E34" s="220">
        <f>+D34/$E$28</f>
        <v>5.2</v>
      </c>
      <c r="F34" s="47" t="str">
        <f>IF(B34="","",IF(C34&lt;=0.05,"X",""))</f>
        <v>X</v>
      </c>
      <c r="G34" s="47" t="str">
        <f>IF(B34="","",IF(C34&lt;=0.05,"","X"))</f>
        <v/>
      </c>
      <c r="J34" s="1076"/>
      <c r="K34" s="1076"/>
      <c r="L34" s="1076"/>
      <c r="M34" s="1076"/>
      <c r="N34" s="1076"/>
      <c r="O34" s="1076"/>
    </row>
    <row r="35" spans="1:18" ht="14.1" customHeight="1" x14ac:dyDescent="0.3">
      <c r="A35" s="1401" t="s">
        <v>784</v>
      </c>
      <c r="B35" s="1325" t="s">
        <v>1148</v>
      </c>
      <c r="E35" s="221"/>
      <c r="F35" s="223"/>
      <c r="G35" s="224"/>
      <c r="I35" s="1164" t="s">
        <v>1008</v>
      </c>
      <c r="J35" s="1164"/>
      <c r="K35" s="1164"/>
      <c r="L35" s="1164"/>
      <c r="M35" s="1164"/>
      <c r="N35" s="1164"/>
      <c r="O35" s="1076"/>
    </row>
    <row r="36" spans="1:18" ht="14.1" customHeight="1" x14ac:dyDescent="0.3">
      <c r="A36" s="696" t="s">
        <v>976</v>
      </c>
      <c r="I36" s="1164" t="s">
        <v>1009</v>
      </c>
      <c r="J36" s="1164"/>
      <c r="K36" s="1164"/>
      <c r="L36" s="1164"/>
      <c r="M36" s="1164"/>
      <c r="N36" s="1164"/>
      <c r="O36" s="1076"/>
    </row>
    <row r="37" spans="1:18" ht="14.1" customHeight="1" x14ac:dyDescent="0.3">
      <c r="A37" s="1020" t="s">
        <v>1100</v>
      </c>
      <c r="B37" s="1074">
        <v>55.5</v>
      </c>
      <c r="C37" s="1199" t="s">
        <v>70</v>
      </c>
      <c r="D37" s="706">
        <v>28</v>
      </c>
      <c r="J37" s="1076"/>
      <c r="K37" s="1076"/>
      <c r="L37" s="1076"/>
      <c r="M37" s="1076"/>
      <c r="N37" s="1076"/>
      <c r="O37" s="1076"/>
    </row>
    <row r="38" spans="1:18" s="1077" customFormat="1" ht="14.1" customHeight="1" x14ac:dyDescent="0.3">
      <c r="A38" s="1323" t="s">
        <v>1101</v>
      </c>
      <c r="B38" s="1029" t="s">
        <v>16</v>
      </c>
      <c r="C38" s="1199" t="s">
        <v>196</v>
      </c>
      <c r="D38" s="706">
        <v>50</v>
      </c>
      <c r="E38" s="1075"/>
      <c r="F38" s="1075"/>
      <c r="G38" s="1075"/>
      <c r="I38" s="1018" t="s">
        <v>1010</v>
      </c>
      <c r="J38" s="1076"/>
      <c r="K38" s="933"/>
      <c r="L38" s="933"/>
      <c r="M38" s="933"/>
      <c r="N38" s="933"/>
      <c r="O38" s="933"/>
    </row>
    <row r="39" spans="1:18" s="1077" customFormat="1" ht="14.1" customHeight="1" x14ac:dyDescent="0.3">
      <c r="A39" s="1021" t="s">
        <v>194</v>
      </c>
      <c r="B39" s="326" t="s">
        <v>192</v>
      </c>
      <c r="C39" s="1199" t="s">
        <v>977</v>
      </c>
      <c r="D39" s="706">
        <v>0.5</v>
      </c>
      <c r="E39" s="1075"/>
      <c r="F39" s="1075"/>
      <c r="G39" s="1075"/>
      <c r="I39" s="1027" t="s">
        <v>1011</v>
      </c>
      <c r="J39" s="1076"/>
      <c r="K39" s="933"/>
      <c r="L39" s="933"/>
      <c r="M39" s="933"/>
      <c r="N39" s="933"/>
      <c r="O39" s="933"/>
    </row>
    <row r="40" spans="1:18" s="1077" customFormat="1" x14ac:dyDescent="0.3">
      <c r="A40" s="1198" t="s">
        <v>140</v>
      </c>
      <c r="B40" s="1023" t="s">
        <v>996</v>
      </c>
      <c r="C40" s="1269"/>
      <c r="D40" s="1030"/>
      <c r="E40" s="1075"/>
      <c r="F40" s="1075"/>
      <c r="G40" s="1075"/>
      <c r="I40" s="1027" t="s">
        <v>1012</v>
      </c>
    </row>
    <row r="41" spans="1:18" s="1077" customFormat="1" x14ac:dyDescent="0.3">
      <c r="A41" s="1721" t="s">
        <v>244</v>
      </c>
      <c r="B41" s="1721" t="s">
        <v>978</v>
      </c>
      <c r="C41" s="1721" t="s">
        <v>981</v>
      </c>
      <c r="D41" s="1022" t="s">
        <v>979</v>
      </c>
      <c r="E41" s="1016" t="s">
        <v>980</v>
      </c>
      <c r="F41" s="1692" t="s">
        <v>15</v>
      </c>
      <c r="G41" s="1693"/>
    </row>
    <row r="42" spans="1:18" s="1077" customFormat="1" ht="14.1" customHeight="1" x14ac:dyDescent="0.3">
      <c r="A42" s="1722"/>
      <c r="B42" s="1722"/>
      <c r="C42" s="1722"/>
      <c r="D42" s="985" t="s">
        <v>981</v>
      </c>
      <c r="E42" s="1017"/>
      <c r="F42" s="996" t="s">
        <v>16</v>
      </c>
      <c r="G42" s="996" t="s">
        <v>17</v>
      </c>
      <c r="I42" s="1027" t="s">
        <v>1013</v>
      </c>
    </row>
    <row r="43" spans="1:18" s="1077" customFormat="1" ht="14.1" customHeight="1" x14ac:dyDescent="0.3">
      <c r="A43" s="1032" t="s">
        <v>66</v>
      </c>
      <c r="B43" s="1031">
        <v>4</v>
      </c>
      <c r="C43" s="1170">
        <f>IF(ISBLANK(B43),"",B43/$D$39)</f>
        <v>8</v>
      </c>
      <c r="D43" s="1026">
        <f>IF(ISBLANK(B43),"",INDEX($K$2:$K$9,(MATCH(A43,$J$2:$J$9,0))))</f>
        <v>7</v>
      </c>
      <c r="E43" s="1170">
        <f>IF(ISBLANK(B43),"",C43-D43)</f>
        <v>1</v>
      </c>
      <c r="F43" s="1170" t="str">
        <f>IF(ISBLANK(B43),"",IF($E43&gt;=0,"X",""))</f>
        <v>X</v>
      </c>
      <c r="G43" s="1170" t="str">
        <f>IF(ISBLANK(B43),"",IF($E43&gt;=0,"","X"))</f>
        <v/>
      </c>
      <c r="I43" s="1027" t="s">
        <v>1014</v>
      </c>
    </row>
    <row r="44" spans="1:18" s="1077" customFormat="1" ht="14.1" customHeight="1" x14ac:dyDescent="0.3">
      <c r="A44" s="1032" t="s">
        <v>123</v>
      </c>
      <c r="B44" s="1031">
        <v>3</v>
      </c>
      <c r="C44" s="1170">
        <f>IF(ISBLANK(B44),"",B44/$D$39)</f>
        <v>6</v>
      </c>
      <c r="D44" s="1026">
        <f t="shared" ref="D44:D46" si="4">IF(ISBLANK(B44),"",INDEX($K$2:$K$9,(MATCH(A44,$J$2:$J$9,0))))</f>
        <v>6.02</v>
      </c>
      <c r="E44" s="1170">
        <f t="shared" ref="E44:E46" si="5">IF(ISBLANK(B44),"",C44-D44)</f>
        <v>-1.9999999999999574E-2</v>
      </c>
      <c r="F44" s="1170" t="str">
        <f t="shared" ref="F44:F46" si="6">IF(ISBLANK(B44),"",IF($E44&gt;=0,"X",""))</f>
        <v/>
      </c>
      <c r="G44" s="1170" t="str">
        <f t="shared" ref="G44:G46" si="7">IF(ISBLANK(B44),"",IF($E44&gt;=0,"","X"))</f>
        <v>X</v>
      </c>
    </row>
    <row r="45" spans="1:18" s="1077" customFormat="1" ht="14.1" customHeight="1" x14ac:dyDescent="0.3">
      <c r="A45" s="1032" t="s">
        <v>204</v>
      </c>
      <c r="B45" s="1031">
        <v>1.5</v>
      </c>
      <c r="C45" s="1170">
        <f>IF(ISBLANK(B45),"",B45/$D$39)</f>
        <v>3</v>
      </c>
      <c r="D45" s="1026">
        <f t="shared" si="4"/>
        <v>2.66</v>
      </c>
      <c r="E45" s="1170">
        <f t="shared" si="5"/>
        <v>0.33999999999999986</v>
      </c>
      <c r="F45" s="1170" t="str">
        <f t="shared" si="6"/>
        <v>X</v>
      </c>
      <c r="G45" s="1170" t="str">
        <f t="shared" si="7"/>
        <v/>
      </c>
      <c r="H45" s="1075"/>
      <c r="I45" s="1075"/>
    </row>
    <row r="46" spans="1:18" ht="14.1" customHeight="1" x14ac:dyDescent="0.3">
      <c r="A46" s="1032" t="s">
        <v>124</v>
      </c>
      <c r="B46" s="1031">
        <v>1.6</v>
      </c>
      <c r="C46" s="1170">
        <f>IF(ISBLANK(B46),"",B46/$D$39)</f>
        <v>3.2</v>
      </c>
      <c r="D46" s="1026">
        <f t="shared" si="4"/>
        <v>4.0599999999999996</v>
      </c>
      <c r="E46" s="1170">
        <f t="shared" si="5"/>
        <v>-0.85999999999999943</v>
      </c>
      <c r="F46" s="1170" t="str">
        <f t="shared" si="6"/>
        <v/>
      </c>
      <c r="G46" s="1170" t="str">
        <f t="shared" si="7"/>
        <v>X</v>
      </c>
      <c r="H46" s="52"/>
      <c r="I46" s="78"/>
      <c r="J46" s="1077"/>
      <c r="K46" s="1077"/>
      <c r="L46" s="1077"/>
      <c r="M46" s="1077"/>
      <c r="N46" s="1077"/>
      <c r="O46" s="1077"/>
      <c r="P46" s="1077"/>
      <c r="Q46" s="1077"/>
      <c r="R46" s="1077"/>
    </row>
    <row r="47" spans="1:18" ht="14.1" customHeight="1" x14ac:dyDescent="0.3">
      <c r="A47" s="1326" t="s">
        <v>784</v>
      </c>
      <c r="B47" s="1184" t="s">
        <v>1001</v>
      </c>
      <c r="C47" s="1012"/>
      <c r="D47" s="1012"/>
      <c r="H47" s="52"/>
      <c r="I47" s="78"/>
      <c r="J47" s="1077"/>
      <c r="K47" s="1077"/>
      <c r="L47" s="1077"/>
      <c r="M47" s="1077"/>
      <c r="N47" s="1077"/>
      <c r="O47" s="1077"/>
      <c r="P47" s="1077"/>
      <c r="Q47" s="1077"/>
      <c r="R47" s="1077"/>
    </row>
    <row r="48" spans="1:18" ht="9" customHeight="1" x14ac:dyDescent="0.3">
      <c r="A48" s="1184"/>
      <c r="B48" s="222"/>
      <c r="C48" s="52"/>
      <c r="D48" s="221"/>
      <c r="E48" s="221"/>
      <c r="F48" s="223"/>
      <c r="G48" s="224"/>
      <c r="H48" s="52"/>
      <c r="I48" s="78"/>
      <c r="J48" s="1077"/>
      <c r="K48" s="1077"/>
      <c r="L48" s="1077"/>
      <c r="M48" s="1077"/>
      <c r="N48" s="1077"/>
      <c r="O48" s="1077"/>
      <c r="P48" s="1077"/>
      <c r="Q48" s="1077"/>
      <c r="R48" s="1077"/>
    </row>
    <row r="49" spans="1:18" ht="12.6" customHeight="1" x14ac:dyDescent="0.3">
      <c r="A49" s="217" t="s">
        <v>529</v>
      </c>
      <c r="B49" s="123" t="s">
        <v>195</v>
      </c>
      <c r="C49" s="10">
        <v>30</v>
      </c>
      <c r="D49" s="52"/>
      <c r="E49" s="221"/>
      <c r="F49" s="221"/>
      <c r="G49" s="221"/>
      <c r="H49" s="52"/>
      <c r="I49" s="78"/>
      <c r="J49" s="1077"/>
      <c r="K49" s="1077"/>
      <c r="L49" s="1077"/>
      <c r="M49" s="1077"/>
      <c r="N49" s="1077"/>
      <c r="O49" s="1077"/>
      <c r="P49" s="1077"/>
      <c r="Q49" s="1077"/>
      <c r="R49" s="1077"/>
    </row>
    <row r="50" spans="1:18" s="1077" customFormat="1" x14ac:dyDescent="0.3">
      <c r="A50" s="1519" t="s">
        <v>196</v>
      </c>
      <c r="B50" s="1715" t="s">
        <v>197</v>
      </c>
      <c r="C50" s="1716" t="s">
        <v>198</v>
      </c>
      <c r="D50" s="1710" t="s">
        <v>199</v>
      </c>
      <c r="E50" s="1710" t="s">
        <v>1002</v>
      </c>
      <c r="F50" s="1717" t="s">
        <v>15</v>
      </c>
      <c r="G50" s="1717"/>
      <c r="H50" s="1082"/>
      <c r="I50" s="226"/>
    </row>
    <row r="51" spans="1:18" x14ac:dyDescent="0.3">
      <c r="A51" s="1532"/>
      <c r="B51" s="1715"/>
      <c r="C51" s="1716"/>
      <c r="D51" s="1711"/>
      <c r="E51" s="1711"/>
      <c r="F51" s="1195" t="s">
        <v>109</v>
      </c>
      <c r="G51" s="1195" t="s">
        <v>192</v>
      </c>
      <c r="H51" s="78"/>
      <c r="I51" s="1077"/>
      <c r="J51" s="1077"/>
      <c r="K51" s="1077"/>
      <c r="L51" s="1077"/>
      <c r="M51" s="1077"/>
      <c r="N51" s="1077"/>
      <c r="O51" s="1077"/>
      <c r="P51" s="1077"/>
      <c r="Q51" s="1077"/>
    </row>
    <row r="52" spans="1:18" x14ac:dyDescent="0.3">
      <c r="A52" s="39">
        <v>40</v>
      </c>
      <c r="B52" s="49">
        <v>38</v>
      </c>
      <c r="C52" s="558">
        <v>38</v>
      </c>
      <c r="D52" s="560"/>
      <c r="E52" s="440"/>
      <c r="F52" s="523"/>
      <c r="G52" s="523"/>
      <c r="H52" s="78"/>
      <c r="I52" s="1077"/>
      <c r="J52" s="1077"/>
      <c r="K52" s="1077"/>
      <c r="L52" s="1077"/>
      <c r="M52" s="1077"/>
      <c r="N52" s="1077"/>
      <c r="O52" s="1077"/>
      <c r="P52" s="1077"/>
      <c r="Q52" s="1077"/>
    </row>
    <row r="53" spans="1:18" ht="14.1" customHeight="1" x14ac:dyDescent="0.3">
      <c r="A53" s="39">
        <v>60</v>
      </c>
      <c r="B53" s="49">
        <v>65</v>
      </c>
      <c r="C53" s="558">
        <v>60</v>
      </c>
      <c r="D53" s="1130">
        <f>IF(ISBLANK(B53),"",(ABS((B53/$A53)-(B52/$A52))/(ABS((B53/$A53)+(B52/$A52)))))</f>
        <v>6.5573770491803268E-2</v>
      </c>
      <c r="E53" s="1130">
        <f>IF(ISBLANK(C53),"",(ABS((C53/$A53)-(C52/$A52))/(ABS((C53/$A53)+(C52/$A52)))))</f>
        <v>2.5641025641025664E-2</v>
      </c>
      <c r="F53" s="47" t="str">
        <f>IF(COUNTIF($A53:$C53,""),"",IF(AND($D53&lt;=0.05,$E53&lt;=0.05),"X",""))</f>
        <v/>
      </c>
      <c r="G53" s="47" t="str">
        <f>IF(COUNTIF($A53:$C53,""),"",IF(AND($D53&lt;=0.05,$E53&lt;=0.05),"","X"))</f>
        <v>X</v>
      </c>
      <c r="H53" s="1078"/>
      <c r="I53" s="1077"/>
      <c r="J53" s="1077"/>
      <c r="K53" s="1077"/>
      <c r="L53" s="1077"/>
      <c r="M53" s="1077"/>
      <c r="N53" s="1077"/>
      <c r="O53" s="1077"/>
      <c r="P53" s="1077"/>
      <c r="Q53" s="1077"/>
    </row>
    <row r="54" spans="1:18" ht="14.1" customHeight="1" x14ac:dyDescent="0.3">
      <c r="A54" s="39">
        <v>100</v>
      </c>
      <c r="B54" s="49">
        <v>105</v>
      </c>
      <c r="C54" s="558">
        <v>100</v>
      </c>
      <c r="D54" s="1130">
        <f t="shared" ref="D54:D57" si="8">IF(ISBLANK(B54),"",(ABS((B54/$A54)-(B53/$A53))/(ABS((B54/$A54)+(B53/$A53)))))</f>
        <v>1.5624999999999944E-2</v>
      </c>
      <c r="E54" s="1130">
        <f t="shared" ref="E54:E57" si="9">IF(ISBLANK(C54),"",(ABS((C54/$A54)-(C53/$A53))/(ABS((C54/$A54)+(C53/$A53)))))</f>
        <v>0</v>
      </c>
      <c r="F54" s="47" t="str">
        <f t="shared" ref="F54:F57" si="10">IF(COUNTIF($A54:$C54,""),"",IF(AND($D54&lt;=0.05,$E54&lt;=0.05),"X",""))</f>
        <v>X</v>
      </c>
      <c r="G54" s="47" t="str">
        <f t="shared" ref="G54:G57" si="11">IF(COUNTIF($A54:$C54,""),"",IF(AND($D54&lt;=0.05,$E54&lt;=0.05),"","X"))</f>
        <v/>
      </c>
      <c r="H54" s="1078"/>
      <c r="I54" s="1077"/>
      <c r="J54" s="1077"/>
      <c r="K54" s="1077"/>
      <c r="L54" s="1077"/>
      <c r="M54" s="1077"/>
      <c r="N54" s="1077"/>
      <c r="O54" s="1077"/>
      <c r="P54" s="1077"/>
      <c r="Q54" s="1077"/>
    </row>
    <row r="55" spans="1:18" ht="14.1" customHeight="1" x14ac:dyDescent="0.3">
      <c r="A55" s="42">
        <v>140</v>
      </c>
      <c r="B55" s="49">
        <v>150</v>
      </c>
      <c r="C55" s="558">
        <v>140</v>
      </c>
      <c r="D55" s="1130">
        <f t="shared" si="8"/>
        <v>1.0101010101010065E-2</v>
      </c>
      <c r="E55" s="1130">
        <f t="shared" si="9"/>
        <v>0</v>
      </c>
      <c r="F55" s="47" t="str">
        <f t="shared" si="10"/>
        <v>X</v>
      </c>
      <c r="G55" s="47" t="str">
        <f t="shared" si="11"/>
        <v/>
      </c>
      <c r="H55" s="1078"/>
      <c r="I55" s="1077"/>
      <c r="J55" s="1077"/>
      <c r="K55" s="1077"/>
      <c r="L55" s="1077"/>
      <c r="M55" s="1077"/>
      <c r="N55" s="1077"/>
      <c r="O55" s="1077"/>
      <c r="P55" s="1077"/>
      <c r="Q55" s="1077"/>
    </row>
    <row r="56" spans="1:18" ht="14.1" customHeight="1" x14ac:dyDescent="0.3">
      <c r="A56" s="39">
        <v>200</v>
      </c>
      <c r="B56" s="49">
        <v>210</v>
      </c>
      <c r="C56" s="558">
        <v>210</v>
      </c>
      <c r="D56" s="1130">
        <f t="shared" si="8"/>
        <v>1.0101010101010065E-2</v>
      </c>
      <c r="E56" s="1130">
        <f t="shared" si="9"/>
        <v>2.439024390243905E-2</v>
      </c>
      <c r="F56" s="47" t="str">
        <f t="shared" si="10"/>
        <v>X</v>
      </c>
      <c r="G56" s="47" t="str">
        <f t="shared" si="11"/>
        <v/>
      </c>
      <c r="H56" s="78"/>
      <c r="I56" s="1077"/>
      <c r="J56" s="1077"/>
      <c r="K56" s="1077"/>
      <c r="L56" s="1077"/>
      <c r="M56" s="1077"/>
      <c r="N56" s="1077"/>
      <c r="O56" s="1077"/>
      <c r="P56" s="1077"/>
      <c r="Q56" s="1077"/>
    </row>
    <row r="57" spans="1:18" ht="14.1" customHeight="1" x14ac:dyDescent="0.3">
      <c r="A57" s="42">
        <v>320</v>
      </c>
      <c r="B57" s="49">
        <v>350</v>
      </c>
      <c r="C57" s="558">
        <v>350</v>
      </c>
      <c r="D57" s="1130">
        <f t="shared" si="8"/>
        <v>2.0408163265306103E-2</v>
      </c>
      <c r="E57" s="1130">
        <f t="shared" si="9"/>
        <v>2.0408163265306103E-2</v>
      </c>
      <c r="F57" s="47" t="str">
        <f t="shared" si="10"/>
        <v>X</v>
      </c>
      <c r="G57" s="47" t="str">
        <f t="shared" si="11"/>
        <v/>
      </c>
      <c r="H57" s="78"/>
      <c r="I57" s="1077"/>
      <c r="J57" s="1077"/>
      <c r="K57" s="1077"/>
      <c r="L57" s="1077"/>
      <c r="M57" s="1077"/>
      <c r="N57" s="1077"/>
      <c r="O57" s="1077"/>
      <c r="P57" s="1077"/>
      <c r="Q57" s="1077"/>
    </row>
    <row r="58" spans="1:18" ht="14.1" customHeight="1" x14ac:dyDescent="0.3">
      <c r="A58" s="1326" t="s">
        <v>800</v>
      </c>
      <c r="B58" s="506" t="s">
        <v>815</v>
      </c>
      <c r="C58" s="52"/>
      <c r="D58" s="52"/>
      <c r="E58" s="52"/>
      <c r="F58" s="52"/>
      <c r="G58" s="52"/>
      <c r="H58" s="78"/>
      <c r="I58" s="1077"/>
      <c r="J58" s="1077"/>
      <c r="K58" s="1077"/>
      <c r="L58" s="1077"/>
      <c r="M58" s="1077"/>
      <c r="N58" s="1077"/>
      <c r="O58" s="1077"/>
      <c r="P58" s="1077"/>
      <c r="Q58" s="1077"/>
    </row>
    <row r="59" spans="1:18" x14ac:dyDescent="0.3">
      <c r="A59" s="603" t="s">
        <v>814</v>
      </c>
      <c r="B59" s="603"/>
      <c r="C59" s="1712"/>
      <c r="D59" s="1712"/>
      <c r="E59" s="1712"/>
      <c r="F59" s="1712"/>
      <c r="G59" s="1712"/>
      <c r="H59" s="1123" t="s">
        <v>490</v>
      </c>
      <c r="I59" s="78"/>
      <c r="J59" s="1018" t="s">
        <v>994</v>
      </c>
      <c r="K59" s="1018"/>
      <c r="L59" s="1077"/>
      <c r="M59" s="1077"/>
      <c r="N59" s="1077"/>
      <c r="O59" s="1077"/>
      <c r="P59" s="1077"/>
      <c r="Q59" s="1077"/>
      <c r="R59" s="1077"/>
    </row>
    <row r="60" spans="1:18" x14ac:dyDescent="0.3">
      <c r="A60" s="1712"/>
      <c r="B60" s="1712"/>
      <c r="C60" s="1712"/>
      <c r="D60" s="1712"/>
      <c r="E60" s="1712"/>
      <c r="F60" s="1712"/>
      <c r="G60" s="1712"/>
      <c r="H60" s="6">
        <f>COUNTIF(G53:G57,"X")+COUNTIF(G23:G26,"X")+COUNTIF(G10:G20,"X")+COUNTIF(G43:G46,"X")+'2.8 FTM-2.9 stab'!J63</f>
        <v>7</v>
      </c>
      <c r="I60" s="78"/>
      <c r="J60" s="1018" t="s">
        <v>993</v>
      </c>
      <c r="K60" s="1018"/>
      <c r="L60" s="1077"/>
      <c r="M60" s="1077"/>
      <c r="N60" s="1077"/>
      <c r="O60" s="1077"/>
      <c r="P60" s="1077"/>
      <c r="Q60" s="1077"/>
      <c r="R60" s="1077"/>
    </row>
    <row r="61" spans="1:18" ht="15.6" x14ac:dyDescent="0.4">
      <c r="A61" s="1448"/>
      <c r="B61" s="1448"/>
      <c r="C61" s="1448"/>
      <c r="D61" s="1448"/>
      <c r="E61" s="1448"/>
      <c r="F61" s="1448"/>
      <c r="G61" s="1448"/>
      <c r="H61" s="227"/>
      <c r="I61" s="1077"/>
      <c r="J61" s="1077"/>
      <c r="K61" s="1077"/>
      <c r="L61" s="1077"/>
      <c r="M61" s="1077"/>
      <c r="N61" s="1077"/>
      <c r="O61" s="1077"/>
      <c r="P61" s="1077"/>
      <c r="Q61" s="1077"/>
    </row>
    <row r="62" spans="1:18" x14ac:dyDescent="0.3">
      <c r="I62" s="1077"/>
      <c r="J62" s="1077"/>
      <c r="K62" s="1077"/>
      <c r="L62" s="1077"/>
      <c r="M62" s="1077"/>
      <c r="N62" s="1077"/>
      <c r="O62" s="1077"/>
      <c r="P62" s="1077"/>
      <c r="Q62" s="1077"/>
    </row>
    <row r="63" spans="1:18" x14ac:dyDescent="0.3">
      <c r="I63" s="1077"/>
      <c r="L63" s="1018"/>
      <c r="M63" s="1018"/>
      <c r="N63" s="1018"/>
      <c r="O63" s="1077"/>
      <c r="P63" s="1077"/>
      <c r="Q63" s="1077"/>
    </row>
    <row r="64" spans="1:18" x14ac:dyDescent="0.3">
      <c r="H64" s="219"/>
      <c r="I64" s="219"/>
      <c r="L64" s="1018"/>
      <c r="M64" s="1018"/>
      <c r="N64" s="1018"/>
      <c r="O64" s="1077"/>
      <c r="P64" s="1077"/>
      <c r="Q64" s="1077"/>
      <c r="R64" s="1077"/>
    </row>
    <row r="65" spans="10:18" x14ac:dyDescent="0.3">
      <c r="J65" s="1077"/>
      <c r="K65" s="1077"/>
      <c r="L65" s="1077"/>
      <c r="M65" s="1077"/>
      <c r="N65" s="1077"/>
      <c r="O65" s="1077"/>
      <c r="P65" s="1077"/>
      <c r="Q65" s="1077"/>
      <c r="R65" s="1077"/>
    </row>
    <row r="66" spans="10:18" x14ac:dyDescent="0.3">
      <c r="J66" s="1077"/>
      <c r="K66" s="1077"/>
      <c r="L66" s="1077"/>
      <c r="M66" s="1077"/>
      <c r="N66" s="1077"/>
      <c r="O66" s="1077"/>
      <c r="P66" s="1077"/>
      <c r="Q66" s="1077"/>
      <c r="R66" s="1077"/>
    </row>
    <row r="67" spans="10:18" x14ac:dyDescent="0.3">
      <c r="J67" s="1077"/>
      <c r="K67" s="1077"/>
      <c r="L67" s="1077"/>
      <c r="M67" s="1077"/>
      <c r="N67" s="1077"/>
      <c r="O67" s="1077"/>
      <c r="P67" s="1077"/>
      <c r="Q67" s="1077"/>
      <c r="R67" s="1077"/>
    </row>
    <row r="68" spans="10:18" x14ac:dyDescent="0.3">
      <c r="J68" s="1077"/>
      <c r="K68" s="1077"/>
      <c r="L68" s="1077"/>
      <c r="M68" s="1077"/>
      <c r="N68" s="1077"/>
      <c r="O68" s="1077"/>
      <c r="P68" s="1077"/>
      <c r="Q68" s="1077"/>
      <c r="R68" s="1077"/>
    </row>
    <row r="69" spans="10:18" x14ac:dyDescent="0.3">
      <c r="J69" s="1077"/>
      <c r="K69" s="1077"/>
      <c r="L69" s="1077"/>
      <c r="M69" s="1077"/>
      <c r="N69" s="1077"/>
      <c r="O69" s="1077"/>
      <c r="P69" s="1077"/>
      <c r="Q69" s="1077"/>
      <c r="R69" s="1077"/>
    </row>
    <row r="70" spans="10:18" x14ac:dyDescent="0.3">
      <c r="J70" s="1077"/>
      <c r="K70" s="1077"/>
      <c r="L70" s="1077"/>
      <c r="M70" s="1077"/>
      <c r="N70" s="1077"/>
      <c r="O70" s="1077"/>
      <c r="P70" s="1077"/>
      <c r="Q70" s="1077"/>
      <c r="R70" s="1077"/>
    </row>
    <row r="71" spans="10:18" x14ac:dyDescent="0.3">
      <c r="J71" s="1077"/>
      <c r="K71" s="1077"/>
      <c r="L71" s="1077"/>
      <c r="M71" s="1077"/>
      <c r="N71" s="1077"/>
      <c r="O71" s="1077"/>
      <c r="P71" s="1077"/>
      <c r="Q71" s="1077"/>
      <c r="R71" s="1077"/>
    </row>
    <row r="72" spans="10:18" x14ac:dyDescent="0.3">
      <c r="J72" s="1077"/>
      <c r="K72" s="1077"/>
      <c r="L72" s="1077"/>
      <c r="M72" s="1077"/>
      <c r="N72" s="1077"/>
      <c r="O72" s="1077"/>
      <c r="P72" s="1077"/>
      <c r="Q72" s="1077"/>
      <c r="R72" s="1077"/>
    </row>
    <row r="73" spans="10:18" x14ac:dyDescent="0.3">
      <c r="J73" s="1077"/>
      <c r="K73" s="1077"/>
      <c r="L73" s="1077"/>
      <c r="M73" s="1077"/>
      <c r="N73" s="1077"/>
      <c r="O73" s="1077"/>
      <c r="P73" s="1077"/>
      <c r="Q73" s="1077"/>
      <c r="R73" s="1077"/>
    </row>
    <row r="74" spans="10:18" x14ac:dyDescent="0.3">
      <c r="K74" s="1077"/>
      <c r="L74" s="1077"/>
      <c r="M74" s="1077"/>
      <c r="N74" s="1077"/>
      <c r="O74" s="1077"/>
      <c r="P74" s="1077"/>
      <c r="Q74" s="1077"/>
    </row>
    <row r="75" spans="10:18" x14ac:dyDescent="0.3">
      <c r="K75" s="1077"/>
      <c r="L75" s="1077"/>
      <c r="M75" s="1077"/>
      <c r="N75" s="1077"/>
      <c r="O75" s="1077"/>
      <c r="P75" s="1077"/>
      <c r="Q75" s="1077"/>
    </row>
    <row r="76" spans="10:18" x14ac:dyDescent="0.3">
      <c r="K76" s="1077"/>
      <c r="L76" s="1077"/>
      <c r="M76" s="1077"/>
      <c r="N76" s="1077"/>
      <c r="O76" s="1077"/>
      <c r="P76" s="1077"/>
      <c r="Q76" s="1077"/>
    </row>
    <row r="77" spans="10:18" x14ac:dyDescent="0.3">
      <c r="K77" s="1077"/>
      <c r="L77" s="1077"/>
      <c r="M77" s="1077"/>
      <c r="N77" s="1077"/>
      <c r="O77" s="1077"/>
      <c r="P77" s="1077"/>
      <c r="Q77" s="1077"/>
    </row>
    <row r="78" spans="10:18" x14ac:dyDescent="0.3">
      <c r="K78" s="1077"/>
      <c r="L78" s="1077"/>
      <c r="M78" s="1077"/>
      <c r="N78" s="1077"/>
      <c r="O78" s="1077"/>
      <c r="P78" s="1077"/>
      <c r="Q78" s="1077"/>
    </row>
    <row r="79" spans="10:18" x14ac:dyDescent="0.3">
      <c r="K79" s="1077"/>
      <c r="L79" s="1077"/>
      <c r="M79" s="1077"/>
      <c r="N79" s="1077"/>
      <c r="O79" s="1077"/>
      <c r="P79" s="1077"/>
      <c r="Q79" s="1077"/>
    </row>
  </sheetData>
  <sheetProtection algorithmName="SHA-512" hashValue="mw5d+kY033Ips1njca9OBOOdsh2ptTAGsUzoHybGohfsd334lChZ6/DTFQn4sFcTJEEgWBy+LAJjqGSMoyOO0g==" saltValue="DE2zvcb085ycL9vUG3xdFw==" spinCount="100000" sheet="1" objects="1" scenarios="1"/>
  <mergeCells count="32">
    <mergeCell ref="C41:C42"/>
    <mergeCell ref="F41:G41"/>
    <mergeCell ref="A41:A42"/>
    <mergeCell ref="B41:B42"/>
    <mergeCell ref="F21:G21"/>
    <mergeCell ref="A21:A22"/>
    <mergeCell ref="B21:B22"/>
    <mergeCell ref="C21:C22"/>
    <mergeCell ref="D21:D22"/>
    <mergeCell ref="E21:E22"/>
    <mergeCell ref="A29:A30"/>
    <mergeCell ref="B29:B30"/>
    <mergeCell ref="C29:C30"/>
    <mergeCell ref="D29:D30"/>
    <mergeCell ref="E29:E30"/>
    <mergeCell ref="F29:G29"/>
    <mergeCell ref="E50:E51"/>
    <mergeCell ref="A60:G60"/>
    <mergeCell ref="A61:G61"/>
    <mergeCell ref="C7:D7"/>
    <mergeCell ref="A50:A51"/>
    <mergeCell ref="B50:B51"/>
    <mergeCell ref="C50:C51"/>
    <mergeCell ref="C59:G59"/>
    <mergeCell ref="D50:D51"/>
    <mergeCell ref="F50:G50"/>
    <mergeCell ref="A8:A9"/>
    <mergeCell ref="B8:B9"/>
    <mergeCell ref="C8:C9"/>
    <mergeCell ref="D8:D9"/>
    <mergeCell ref="E8:E9"/>
    <mergeCell ref="F8:G8"/>
  </mergeCells>
  <conditionalFormatting sqref="D53:E57">
    <cfRule type="cellIs" dxfId="90" priority="27" stopIfTrue="1" operator="greaterThan">
      <formula>0.05</formula>
    </cfRule>
  </conditionalFormatting>
  <conditionalFormatting sqref="E43:E46">
    <cfRule type="cellIs" dxfId="89" priority="2" operator="lessThan">
      <formula>0</formula>
    </cfRule>
  </conditionalFormatting>
  <conditionalFormatting sqref="C10:C20 C23:C26 C31:C34">
    <cfRule type="cellIs" dxfId="88" priority="1" operator="greaterThan">
      <formula>0.05</formula>
    </cfRule>
  </conditionalFormatting>
  <dataValidations count="2">
    <dataValidation type="list" allowBlank="1" showInputMessage="1" showErrorMessage="1" sqref="C6 C28" xr:uid="{00000000-0002-0000-0D00-000000000000}">
      <formula1>$J$2:$J$8</formula1>
    </dataValidation>
    <dataValidation type="list" allowBlank="1" showInputMessage="1" showErrorMessage="1" sqref="A43:A46" xr:uid="{030AC527-1BCD-40FE-A375-3CA88614E6E3}">
      <formula1>$J$2:$J$9</formula1>
    </dataValidation>
  </dataValidations>
  <printOptions horizontalCentered="1"/>
  <pageMargins left="0.70866141732283472" right="0.70866141732283472" top="0.74803149606299213" bottom="0.74803149606299213" header="0.31496062992125984" footer="0.31496062992125984"/>
  <pageSetup scale="76" orientation="portrait" r:id="rId1"/>
  <headerFooter>
    <oddFooter>&amp;CPage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2">
    <tabColor theme="3" tint="-0.249977111117893"/>
    <pageSetUpPr fitToPage="1"/>
  </sheetPr>
  <dimension ref="A1:T343"/>
  <sheetViews>
    <sheetView zoomScaleNormal="100" workbookViewId="0">
      <selection activeCell="L4" sqref="L4"/>
    </sheetView>
  </sheetViews>
  <sheetFormatPr baseColWidth="10" defaultColWidth="10.6640625" defaultRowHeight="14.4" x14ac:dyDescent="0.3"/>
  <cols>
    <col min="1" max="1" width="32" style="239" customWidth="1"/>
    <col min="2" max="2" width="10.6640625" style="1075" customWidth="1"/>
    <col min="3" max="6" width="11.33203125" style="1075" bestFit="1" customWidth="1"/>
    <col min="7" max="8" width="13.33203125" style="1075" customWidth="1"/>
    <col min="9" max="9" width="6.77734375" style="1075" customWidth="1"/>
    <col min="10" max="17" width="10.6640625" style="231"/>
    <col min="18" max="16384" width="10.6640625" style="1075"/>
  </cols>
  <sheetData>
    <row r="1" spans="1:17" x14ac:dyDescent="0.3">
      <c r="A1" s="53" t="s">
        <v>753</v>
      </c>
      <c r="B1" s="54" t="str">
        <f>+Info!C10</f>
        <v>Clinique Ste-Mammo</v>
      </c>
      <c r="C1" s="55"/>
      <c r="D1" s="55"/>
      <c r="E1" s="56" t="s">
        <v>755</v>
      </c>
      <c r="F1" s="55"/>
      <c r="G1" s="55"/>
      <c r="H1" s="203" t="str">
        <f>+Info!C37</f>
        <v>20-01-2020</v>
      </c>
      <c r="I1" s="230"/>
      <c r="K1" s="232" t="s">
        <v>200</v>
      </c>
      <c r="L1" s="233" t="s">
        <v>425</v>
      </c>
      <c r="M1" s="234"/>
      <c r="N1" s="234" t="s">
        <v>201</v>
      </c>
      <c r="O1" s="234"/>
      <c r="P1" s="234"/>
      <c r="Q1" s="234"/>
    </row>
    <row r="2" spans="1:17" x14ac:dyDescent="0.3">
      <c r="A2" s="58" t="s">
        <v>754</v>
      </c>
      <c r="B2" s="59" t="str">
        <f>+Info!C21</f>
        <v>Salle 2, Hirad IV</v>
      </c>
      <c r="C2" s="51"/>
      <c r="D2" s="51"/>
      <c r="E2" s="60" t="s">
        <v>756</v>
      </c>
      <c r="F2" s="51"/>
      <c r="G2" s="51"/>
      <c r="H2" s="61" t="str">
        <f>+Info!C35</f>
        <v>Alexandre Toussaint</v>
      </c>
      <c r="I2" s="230"/>
      <c r="K2" s="235" t="s">
        <v>66</v>
      </c>
      <c r="L2" s="236">
        <v>0.12</v>
      </c>
    </row>
    <row r="3" spans="1:17" x14ac:dyDescent="0.3">
      <c r="A3" s="237"/>
      <c r="B3" s="62"/>
      <c r="C3" s="62"/>
      <c r="D3" s="62"/>
      <c r="E3" s="62"/>
      <c r="F3" s="62"/>
      <c r="G3" s="62"/>
      <c r="H3" s="62"/>
      <c r="I3" s="1080"/>
      <c r="K3" s="235" t="s">
        <v>123</v>
      </c>
      <c r="L3" s="236">
        <v>0.22</v>
      </c>
    </row>
    <row r="4" spans="1:17" x14ac:dyDescent="0.3">
      <c r="A4" s="238" t="s">
        <v>816</v>
      </c>
      <c r="B4" s="62"/>
      <c r="C4" s="62"/>
      <c r="D4" s="62"/>
      <c r="E4" s="62"/>
      <c r="F4" s="62"/>
      <c r="G4" s="62"/>
      <c r="H4" s="62"/>
      <c r="I4" s="1080"/>
      <c r="K4" s="243" t="s">
        <v>912</v>
      </c>
      <c r="L4" s="236">
        <v>0.23</v>
      </c>
      <c r="M4" t="s">
        <v>1196</v>
      </c>
    </row>
    <row r="5" spans="1:17" x14ac:dyDescent="0.3">
      <c r="A5" s="238" t="s">
        <v>817</v>
      </c>
      <c r="B5" s="62"/>
      <c r="C5" s="62"/>
      <c r="D5" s="62"/>
      <c r="E5" s="62"/>
      <c r="F5" s="62"/>
      <c r="G5" s="62"/>
      <c r="H5" s="62"/>
      <c r="I5" s="1080"/>
      <c r="K5" s="235" t="s">
        <v>124</v>
      </c>
      <c r="L5" s="236">
        <v>0.19</v>
      </c>
    </row>
    <row r="6" spans="1:17" x14ac:dyDescent="0.3">
      <c r="A6" s="238" t="s">
        <v>818</v>
      </c>
      <c r="B6" s="62"/>
      <c r="C6" s="62"/>
      <c r="D6" s="62"/>
      <c r="E6" s="62"/>
      <c r="F6" s="62"/>
      <c r="G6" s="62"/>
      <c r="H6" s="62"/>
      <c r="I6" s="1080"/>
      <c r="K6" s="235" t="s">
        <v>202</v>
      </c>
      <c r="L6" s="236">
        <v>0.32</v>
      </c>
    </row>
    <row r="7" spans="1:17" x14ac:dyDescent="0.3">
      <c r="B7" s="240"/>
      <c r="C7" s="62"/>
      <c r="D7" s="1270"/>
      <c r="E7" s="62"/>
      <c r="F7" s="62"/>
      <c r="G7" s="62"/>
      <c r="H7" s="62"/>
      <c r="I7" s="1080"/>
      <c r="K7" s="235" t="s">
        <v>203</v>
      </c>
      <c r="L7" s="236">
        <v>0.25</v>
      </c>
    </row>
    <row r="8" spans="1:17" x14ac:dyDescent="0.3">
      <c r="A8" s="241" t="s">
        <v>532</v>
      </c>
      <c r="C8" s="55"/>
      <c r="D8" s="55"/>
      <c r="E8" s="55"/>
      <c r="F8" s="55"/>
      <c r="G8" s="55"/>
      <c r="H8" s="242"/>
      <c r="I8" s="1080"/>
      <c r="K8" s="235" t="s">
        <v>204</v>
      </c>
      <c r="L8" s="236">
        <v>0.3</v>
      </c>
    </row>
    <row r="9" spans="1:17" x14ac:dyDescent="0.3">
      <c r="A9" s="244" t="s">
        <v>681</v>
      </c>
      <c r="B9" s="326">
        <v>60</v>
      </c>
      <c r="C9" s="216"/>
      <c r="D9" s="216"/>
      <c r="E9" s="216"/>
      <c r="F9" s="216"/>
      <c r="G9" s="216"/>
      <c r="H9" s="246"/>
      <c r="I9" s="1080"/>
    </row>
    <row r="10" spans="1:17" x14ac:dyDescent="0.3">
      <c r="A10" s="244" t="s">
        <v>686</v>
      </c>
      <c r="B10" s="326">
        <v>55</v>
      </c>
      <c r="C10" s="1723" t="s">
        <v>682</v>
      </c>
      <c r="D10" s="1723"/>
      <c r="E10" s="1723"/>
      <c r="F10" s="1723"/>
      <c r="G10" s="216"/>
      <c r="H10" s="246"/>
      <c r="I10" s="1080"/>
    </row>
    <row r="11" spans="1:17" ht="15" thickBot="1" x14ac:dyDescent="0.35">
      <c r="A11" s="244" t="s">
        <v>685</v>
      </c>
      <c r="B11" s="326" t="s">
        <v>109</v>
      </c>
      <c r="C11" s="327"/>
      <c r="D11" s="327"/>
      <c r="E11" s="327"/>
      <c r="F11" s="327"/>
      <c r="G11" s="216"/>
      <c r="H11" s="246"/>
      <c r="I11" s="1080"/>
    </row>
    <row r="12" spans="1:17" ht="15" thickTop="1" x14ac:dyDescent="0.3">
      <c r="A12" s="247" t="s">
        <v>206</v>
      </c>
      <c r="B12" s="500" t="s">
        <v>66</v>
      </c>
      <c r="C12" s="500" t="s">
        <v>123</v>
      </c>
      <c r="D12" s="500" t="s">
        <v>124</v>
      </c>
      <c r="E12" s="500" t="s">
        <v>204</v>
      </c>
      <c r="F12" s="500" t="s">
        <v>203</v>
      </c>
      <c r="G12" s="1739" t="s">
        <v>15</v>
      </c>
      <c r="H12" s="1740"/>
      <c r="I12" s="1080"/>
    </row>
    <row r="13" spans="1:17" x14ac:dyDescent="0.3">
      <c r="A13" s="507" t="s">
        <v>207</v>
      </c>
      <c r="B13" s="328">
        <v>30</v>
      </c>
      <c r="C13" s="328">
        <v>30</v>
      </c>
      <c r="D13" s="328">
        <v>30</v>
      </c>
      <c r="E13" s="328">
        <v>30</v>
      </c>
      <c r="F13" s="328">
        <v>30</v>
      </c>
      <c r="G13" s="1186" t="s">
        <v>16</v>
      </c>
      <c r="H13" s="1186" t="s">
        <v>17</v>
      </c>
      <c r="I13" s="1080"/>
    </row>
    <row r="14" spans="1:17" x14ac:dyDescent="0.3">
      <c r="A14" s="507" t="s">
        <v>208</v>
      </c>
      <c r="B14" s="1205">
        <v>89</v>
      </c>
      <c r="C14" s="1205">
        <v>89</v>
      </c>
      <c r="D14" s="1205">
        <v>89</v>
      </c>
      <c r="E14" s="1205">
        <v>89</v>
      </c>
      <c r="F14" s="1205">
        <v>89</v>
      </c>
      <c r="G14" s="154"/>
      <c r="H14" s="249"/>
      <c r="I14" s="1080"/>
    </row>
    <row r="15" spans="1:17" x14ac:dyDescent="0.3">
      <c r="A15" s="507" t="s">
        <v>1017</v>
      </c>
      <c r="B15" s="1205">
        <v>290</v>
      </c>
      <c r="C15" s="1205">
        <v>200</v>
      </c>
      <c r="D15" s="1205">
        <v>255</v>
      </c>
      <c r="E15" s="1205">
        <v>280</v>
      </c>
      <c r="F15" s="1205">
        <v>240</v>
      </c>
      <c r="G15" s="250"/>
      <c r="H15" s="251"/>
      <c r="I15" s="1080"/>
    </row>
    <row r="16" spans="1:17" x14ac:dyDescent="0.3">
      <c r="A16" s="507" t="s">
        <v>209</v>
      </c>
      <c r="B16" s="1205">
        <v>140</v>
      </c>
      <c r="C16" s="1205">
        <v>140</v>
      </c>
      <c r="D16" s="1205">
        <v>140</v>
      </c>
      <c r="E16" s="1205">
        <v>140</v>
      </c>
      <c r="F16" s="1205">
        <v>140</v>
      </c>
      <c r="G16" s="250"/>
      <c r="H16" s="251"/>
      <c r="I16" s="1080"/>
      <c r="J16" s="252" t="s">
        <v>210</v>
      </c>
      <c r="K16" s="252"/>
      <c r="L16" s="252"/>
      <c r="M16" s="252"/>
      <c r="N16" s="252"/>
      <c r="O16" s="252"/>
    </row>
    <row r="17" spans="1:16" x14ac:dyDescent="0.3">
      <c r="A17" s="507" t="s">
        <v>211</v>
      </c>
      <c r="B17" s="1205">
        <v>200</v>
      </c>
      <c r="C17" s="1205">
        <v>200</v>
      </c>
      <c r="D17" s="1205">
        <v>200</v>
      </c>
      <c r="E17" s="1205">
        <v>200</v>
      </c>
      <c r="F17" s="1205">
        <v>200</v>
      </c>
      <c r="G17" s="250"/>
      <c r="H17" s="251"/>
      <c r="I17" s="1080"/>
      <c r="J17" s="252">
        <v>0.3</v>
      </c>
      <c r="K17" s="253"/>
      <c r="L17" s="253"/>
      <c r="M17" s="253"/>
      <c r="N17" s="253"/>
      <c r="O17" s="253"/>
    </row>
    <row r="18" spans="1:16" x14ac:dyDescent="0.3">
      <c r="A18" s="508" t="s">
        <v>212</v>
      </c>
      <c r="B18" s="1205">
        <v>100</v>
      </c>
      <c r="C18" s="1205">
        <v>100</v>
      </c>
      <c r="D18" s="1205">
        <v>100</v>
      </c>
      <c r="E18" s="1205">
        <v>100</v>
      </c>
      <c r="F18" s="1205">
        <v>100</v>
      </c>
      <c r="G18" s="250"/>
      <c r="H18" s="251"/>
      <c r="I18" s="1080"/>
      <c r="J18" s="252">
        <v>0.4</v>
      </c>
      <c r="K18" s="254">
        <f>+($J$18*LN(2*B16/B20)-$J$17*LN(2*B17/B20))/(LN(B16/B17))</f>
        <v>0.27377834927847089</v>
      </c>
      <c r="L18" s="254">
        <f t="shared" ref="L18:O18" si="0">+($J$18*LN(2*C16/C20)-$J$17*LN(2*C17/C20))/(LN(C16/C17))</f>
        <v>0.20566417901252679</v>
      </c>
      <c r="M18" s="254">
        <f t="shared" si="0"/>
        <v>0.25384537588296879</v>
      </c>
      <c r="N18" s="254">
        <f t="shared" si="0"/>
        <v>0.26822633963139547</v>
      </c>
      <c r="O18" s="254">
        <f t="shared" si="0"/>
        <v>0.24484886096180486</v>
      </c>
    </row>
    <row r="19" spans="1:16" x14ac:dyDescent="0.3">
      <c r="A19" s="507" t="s">
        <v>1018</v>
      </c>
      <c r="B19" s="1205">
        <v>220</v>
      </c>
      <c r="C19" s="1205">
        <v>200</v>
      </c>
      <c r="D19" s="1205">
        <v>220</v>
      </c>
      <c r="E19" s="1205">
        <v>220</v>
      </c>
      <c r="F19" s="1205">
        <v>220</v>
      </c>
      <c r="G19" s="250"/>
      <c r="H19" s="251"/>
      <c r="I19" s="1080"/>
      <c r="J19" s="252">
        <v>0.5</v>
      </c>
      <c r="K19" s="254">
        <f>+($J$19*LN(2*B17/B20)-$J$18*LN(2*B18/B20))/(LN(B17/B18))</f>
        <v>0.46495027529158672</v>
      </c>
      <c r="L19" s="254">
        <f t="shared" ref="L19:O19" si="1">+($J$19*LN(2*C17/C20)-$J$18*LN(2*C18/C20))/(LN(C17/C18))</f>
        <v>0.5</v>
      </c>
      <c r="M19" s="254">
        <f t="shared" si="1"/>
        <v>0.47520724865564151</v>
      </c>
      <c r="N19" s="254">
        <f t="shared" si="1"/>
        <v>0.46780719051126379</v>
      </c>
      <c r="O19" s="254">
        <f t="shared" si="1"/>
        <v>0.479836613883035</v>
      </c>
    </row>
    <row r="20" spans="1:16" x14ac:dyDescent="0.3">
      <c r="A20" s="507" t="s">
        <v>1019</v>
      </c>
      <c r="B20" s="34">
        <f>+(B15+B19)/2</f>
        <v>255</v>
      </c>
      <c r="C20" s="34">
        <f>+(C15+C19)/2</f>
        <v>200</v>
      </c>
      <c r="D20" s="34">
        <f t="shared" ref="D20:F20" si="2">+(D15+D19)/2</f>
        <v>237.5</v>
      </c>
      <c r="E20" s="34">
        <f t="shared" si="2"/>
        <v>250</v>
      </c>
      <c r="F20" s="34">
        <f t="shared" si="2"/>
        <v>230</v>
      </c>
      <c r="G20" s="255"/>
      <c r="H20" s="256"/>
      <c r="I20" s="1080"/>
    </row>
    <row r="21" spans="1:16" x14ac:dyDescent="0.3">
      <c r="A21" s="509" t="s">
        <v>213</v>
      </c>
      <c r="B21" s="329">
        <f>IF((B17/B20)&lt; 0.5, K18,K19)</f>
        <v>0.46495027529158672</v>
      </c>
      <c r="C21" s="707">
        <f t="shared" ref="C21:F21" si="3">IF((C17/C20)&lt; 0.5, L18,L19)</f>
        <v>0.5</v>
      </c>
      <c r="D21" s="707">
        <f t="shared" si="3"/>
        <v>0.47520724865564151</v>
      </c>
      <c r="E21" s="707">
        <f t="shared" si="3"/>
        <v>0.46780719051126379</v>
      </c>
      <c r="F21" s="707">
        <f t="shared" si="3"/>
        <v>0.479836613883035</v>
      </c>
      <c r="G21" s="257" t="str">
        <f>IF(P23=0,"X","")</f>
        <v/>
      </c>
      <c r="H21" s="257" t="str">
        <f>IF(P23=0,"","X")</f>
        <v>X</v>
      </c>
      <c r="I21" s="1078"/>
      <c r="J21" s="1079" t="s">
        <v>1025</v>
      </c>
      <c r="K21" s="1079"/>
      <c r="L21" s="1079"/>
      <c r="M21" s="1079"/>
    </row>
    <row r="22" spans="1:16" x14ac:dyDescent="0.3">
      <c r="A22" s="510" t="s">
        <v>819</v>
      </c>
      <c r="B22" s="281">
        <f>+B13/100+0.03</f>
        <v>0.32999999999999996</v>
      </c>
      <c r="C22" s="281">
        <f>+C13/100+0.03</f>
        <v>0.32999999999999996</v>
      </c>
      <c r="D22" s="281">
        <f>+D13/100+0.03</f>
        <v>0.32999999999999996</v>
      </c>
      <c r="E22" s="281">
        <f>+E13/100+0.03</f>
        <v>0.32999999999999996</v>
      </c>
      <c r="F22" s="525">
        <f>+F13/100+0.03</f>
        <v>0.32999999999999996</v>
      </c>
      <c r="G22" s="258"/>
      <c r="H22" s="259"/>
      <c r="I22" s="1080"/>
      <c r="J22" s="232" t="str">
        <f>anodFilt</f>
        <v>Mo/Mo</v>
      </c>
      <c r="K22" s="232" t="str">
        <f>C12</f>
        <v>Mo/Rh</v>
      </c>
      <c r="L22" s="232" t="str">
        <f>D12</f>
        <v>Rh/Rh</v>
      </c>
      <c r="M22" s="232" t="str">
        <f>E12</f>
        <v>W/Rh</v>
      </c>
      <c r="N22" s="232" t="str">
        <f>F12</f>
        <v>W/Al</v>
      </c>
    </row>
    <row r="23" spans="1:16" x14ac:dyDescent="0.3">
      <c r="A23" s="510" t="s">
        <v>820</v>
      </c>
      <c r="B23" s="281">
        <f>IF(B12="","",+(B13/100)+VLOOKUP(B12,$K$2:$L$8,2))</f>
        <v>0.42</v>
      </c>
      <c r="C23" s="281">
        <f t="shared" ref="C23:F23" si="4">IF(C12="","",+(C13/100)+VLOOKUP(C12,$K$2:$L$8,2))</f>
        <v>0.52</v>
      </c>
      <c r="D23" s="281">
        <f t="shared" si="4"/>
        <v>0.49</v>
      </c>
      <c r="E23" s="281">
        <f t="shared" si="4"/>
        <v>0.6</v>
      </c>
      <c r="F23" s="281">
        <f t="shared" si="4"/>
        <v>0.55000000000000004</v>
      </c>
      <c r="G23" s="255"/>
      <c r="H23" s="256"/>
      <c r="I23" s="1080"/>
      <c r="J23" s="260" t="str">
        <f>IF(AND(B21&lt;=B23,B21&gt;=B22),"","x")</f>
        <v>x</v>
      </c>
      <c r="K23" s="260"/>
      <c r="L23" s="260"/>
      <c r="M23" s="260"/>
      <c r="N23" s="260"/>
      <c r="O23" s="260"/>
      <c r="P23" s="260">
        <f>COUNTIF(J23:N23,"x")</f>
        <v>1</v>
      </c>
    </row>
    <row r="24" spans="1:16" x14ac:dyDescent="0.3">
      <c r="A24" s="224"/>
      <c r="I24" s="1080"/>
    </row>
    <row r="25" spans="1:16" x14ac:dyDescent="0.3">
      <c r="A25" s="1743" t="s">
        <v>778</v>
      </c>
      <c r="B25" s="1743"/>
      <c r="C25" s="1744"/>
      <c r="D25" s="1744"/>
      <c r="E25" s="1744"/>
      <c r="F25" s="1744"/>
      <c r="G25" s="1744"/>
      <c r="H25" s="1744"/>
      <c r="I25" s="1080"/>
    </row>
    <row r="26" spans="1:16" x14ac:dyDescent="0.3">
      <c r="A26" s="1745"/>
      <c r="B26" s="1745"/>
      <c r="C26" s="1745"/>
      <c r="D26" s="1745"/>
      <c r="E26" s="1745"/>
      <c r="F26" s="1745"/>
      <c r="G26" s="1745"/>
      <c r="H26" s="1745"/>
      <c r="I26" s="1080"/>
    </row>
    <row r="27" spans="1:16" x14ac:dyDescent="0.3">
      <c r="A27" s="237"/>
      <c r="B27" s="62"/>
      <c r="C27" s="62"/>
      <c r="D27" s="62"/>
      <c r="E27" s="62"/>
      <c r="F27" s="62"/>
      <c r="G27" s="62"/>
      <c r="H27" s="62"/>
      <c r="I27" s="1080"/>
    </row>
    <row r="28" spans="1:16" x14ac:dyDescent="0.3">
      <c r="A28" s="237"/>
      <c r="B28" s="62"/>
      <c r="C28" s="62"/>
      <c r="D28" s="62"/>
      <c r="E28" s="62"/>
      <c r="F28" s="62"/>
      <c r="G28" s="62"/>
      <c r="H28" s="62"/>
      <c r="I28" s="1080"/>
    </row>
    <row r="29" spans="1:16" ht="15" thickBot="1" x14ac:dyDescent="0.35">
      <c r="A29" s="261" t="s">
        <v>214</v>
      </c>
      <c r="B29" s="55"/>
      <c r="C29" s="55"/>
      <c r="D29" s="55"/>
      <c r="E29" s="55"/>
      <c r="F29" s="55"/>
      <c r="G29" s="55"/>
      <c r="H29" s="242"/>
      <c r="I29" s="1080"/>
    </row>
    <row r="30" spans="1:16" ht="15" thickTop="1" x14ac:dyDescent="0.3">
      <c r="A30" s="511" t="s">
        <v>206</v>
      </c>
      <c r="B30" s="500" t="s">
        <v>66</v>
      </c>
      <c r="C30" s="500" t="s">
        <v>123</v>
      </c>
      <c r="D30" s="500" t="s">
        <v>124</v>
      </c>
      <c r="E30" s="500" t="s">
        <v>202</v>
      </c>
      <c r="F30" s="500" t="s">
        <v>204</v>
      </c>
      <c r="G30" s="1741" t="s">
        <v>15</v>
      </c>
      <c r="H30" s="1742"/>
      <c r="I30" s="1080"/>
    </row>
    <row r="31" spans="1:16" x14ac:dyDescent="0.3">
      <c r="A31" s="248" t="s">
        <v>207</v>
      </c>
      <c r="B31" s="328">
        <v>30</v>
      </c>
      <c r="C31" s="328">
        <v>30</v>
      </c>
      <c r="D31" s="328">
        <v>30</v>
      </c>
      <c r="E31" s="328">
        <v>30</v>
      </c>
      <c r="F31" s="328">
        <v>30</v>
      </c>
      <c r="G31" s="262" t="s">
        <v>16</v>
      </c>
      <c r="H31" s="262" t="s">
        <v>17</v>
      </c>
      <c r="I31" s="1080"/>
    </row>
    <row r="32" spans="1:16" x14ac:dyDescent="0.3">
      <c r="A32" s="263" t="s">
        <v>215</v>
      </c>
      <c r="B32" s="1205">
        <v>20</v>
      </c>
      <c r="C32" s="1205"/>
      <c r="D32" s="1205"/>
      <c r="E32" s="1205"/>
      <c r="F32" s="330"/>
      <c r="G32" s="264"/>
      <c r="H32" s="265"/>
      <c r="I32" s="1080"/>
    </row>
    <row r="33" spans="1:14" x14ac:dyDescent="0.3">
      <c r="A33" s="263" t="s">
        <v>216</v>
      </c>
      <c r="B33" s="1205">
        <v>2</v>
      </c>
      <c r="C33" s="1205"/>
      <c r="D33" s="1205"/>
      <c r="E33" s="1205"/>
      <c r="F33" s="330"/>
      <c r="G33" s="266"/>
      <c r="H33" s="152"/>
      <c r="I33" s="1080"/>
      <c r="J33" s="267"/>
      <c r="K33" s="1734" t="s">
        <v>442</v>
      </c>
      <c r="L33" s="1735"/>
      <c r="M33" s="1736"/>
    </row>
    <row r="34" spans="1:14" x14ac:dyDescent="0.3">
      <c r="A34" s="263" t="s">
        <v>217</v>
      </c>
      <c r="B34" s="1205"/>
      <c r="C34" s="1205">
        <v>120</v>
      </c>
      <c r="D34" s="1205"/>
      <c r="E34" s="1205"/>
      <c r="F34" s="330"/>
      <c r="G34" s="266"/>
      <c r="H34" s="152"/>
      <c r="I34" s="1080"/>
      <c r="K34" s="268" t="s">
        <v>218</v>
      </c>
      <c r="L34" s="268" t="s">
        <v>219</v>
      </c>
      <c r="M34" s="268" t="s">
        <v>220</v>
      </c>
    </row>
    <row r="35" spans="1:14" x14ac:dyDescent="0.3">
      <c r="A35" s="263" t="s">
        <v>221</v>
      </c>
      <c r="B35" s="1205"/>
      <c r="C35" s="1205">
        <v>8</v>
      </c>
      <c r="D35" s="1205">
        <v>1</v>
      </c>
      <c r="E35" s="1205"/>
      <c r="F35" s="330"/>
      <c r="G35" s="266"/>
      <c r="H35" s="152"/>
      <c r="I35" s="1080"/>
      <c r="K35" s="268">
        <f>+B41</f>
        <v>60</v>
      </c>
      <c r="L35" s="269">
        <f>+(($K$35-4.5)/($K$35-2))^2</f>
        <v>0.91565101070154575</v>
      </c>
      <c r="M35" s="269">
        <f>+(($K$35-4.5)/($K$35-7))^2</f>
        <v>1.0965646137415452</v>
      </c>
    </row>
    <row r="36" spans="1:14" x14ac:dyDescent="0.3">
      <c r="A36" s="263" t="s">
        <v>222</v>
      </c>
      <c r="B36" s="1205"/>
      <c r="C36" s="1205" t="s">
        <v>305</v>
      </c>
      <c r="D36" s="1205">
        <v>500</v>
      </c>
      <c r="E36" s="1205"/>
      <c r="F36" s="330"/>
      <c r="G36" s="266"/>
      <c r="H36" s="152"/>
      <c r="I36" s="1080"/>
      <c r="J36" s="120" t="s">
        <v>223</v>
      </c>
      <c r="K36" s="1079"/>
      <c r="L36" s="1079"/>
    </row>
    <row r="37" spans="1:14" x14ac:dyDescent="0.3">
      <c r="A37" s="263" t="s">
        <v>224</v>
      </c>
      <c r="B37" s="1205"/>
      <c r="C37" s="1205"/>
      <c r="D37" s="1205">
        <v>20</v>
      </c>
      <c r="E37" s="1205"/>
      <c r="F37" s="330"/>
      <c r="G37" s="266"/>
      <c r="H37" s="152"/>
      <c r="I37" s="1080"/>
      <c r="J37" s="270"/>
    </row>
    <row r="38" spans="1:14" x14ac:dyDescent="0.3">
      <c r="A38" s="271"/>
      <c r="B38" s="216"/>
      <c r="C38" s="216"/>
      <c r="D38" s="216"/>
      <c r="E38" s="216"/>
      <c r="F38" s="216"/>
      <c r="G38" s="266"/>
      <c r="H38" s="152"/>
      <c r="I38" s="1080"/>
    </row>
    <row r="39" spans="1:14" ht="15" customHeight="1" x14ac:dyDescent="0.3">
      <c r="A39" s="271" t="s">
        <v>683</v>
      </c>
      <c r="B39" s="216"/>
      <c r="C39" s="216"/>
      <c r="D39" s="216"/>
      <c r="E39" s="216"/>
      <c r="F39" s="216"/>
      <c r="G39" s="266"/>
      <c r="H39" s="152"/>
      <c r="I39" s="1080"/>
      <c r="J39" s="1467" t="s">
        <v>225</v>
      </c>
      <c r="K39" s="1467"/>
    </row>
    <row r="40" spans="1:14" x14ac:dyDescent="0.3">
      <c r="A40" s="271" t="s">
        <v>226</v>
      </c>
      <c r="B40" s="1205">
        <v>1</v>
      </c>
      <c r="C40" s="1205">
        <v>1</v>
      </c>
      <c r="D40" s="1205">
        <v>1</v>
      </c>
      <c r="E40" s="1205">
        <v>1</v>
      </c>
      <c r="F40" s="1205">
        <v>1</v>
      </c>
      <c r="G40" s="266"/>
      <c r="H40" s="152"/>
      <c r="I40" s="1080"/>
      <c r="J40" s="1467"/>
      <c r="K40" s="1467"/>
    </row>
    <row r="41" spans="1:14" x14ac:dyDescent="0.3">
      <c r="A41" s="271" t="s">
        <v>684</v>
      </c>
      <c r="B41" s="1205">
        <v>60</v>
      </c>
      <c r="C41" s="1205"/>
      <c r="D41" s="1205"/>
      <c r="E41" s="1205"/>
      <c r="F41" s="1205"/>
      <c r="G41" s="266"/>
      <c r="H41" s="152"/>
      <c r="I41" s="1080"/>
      <c r="J41" s="1467"/>
      <c r="K41" s="1467"/>
      <c r="L41" s="1733" t="s">
        <v>441</v>
      </c>
      <c r="M41" s="1733"/>
      <c r="N41" s="1733"/>
    </row>
    <row r="42" spans="1:14" x14ac:dyDescent="0.3">
      <c r="A42" s="271" t="s">
        <v>227</v>
      </c>
      <c r="B42" s="272">
        <f>+(B$33*$L$35*B$40)</f>
        <v>1.8313020214030915</v>
      </c>
      <c r="C42" s="272"/>
      <c r="D42" s="272"/>
      <c r="E42" s="272">
        <f t="shared" ref="E42:F42" si="5">+(E$33*$L$35*E$40)</f>
        <v>0</v>
      </c>
      <c r="F42" s="272">
        <f t="shared" si="5"/>
        <v>0</v>
      </c>
      <c r="G42" s="266"/>
      <c r="H42" s="152"/>
      <c r="I42" s="1080"/>
      <c r="J42" s="1467"/>
      <c r="K42" s="1467"/>
      <c r="L42" s="268" t="s">
        <v>218</v>
      </c>
      <c r="M42" s="268" t="s">
        <v>219</v>
      </c>
      <c r="N42" s="268" t="s">
        <v>220</v>
      </c>
    </row>
    <row r="43" spans="1:14" x14ac:dyDescent="0.3">
      <c r="A43" s="271" t="s">
        <v>228</v>
      </c>
      <c r="B43" s="272"/>
      <c r="C43" s="272">
        <f t="shared" ref="C43:F43" si="6">+(C$35*C$40)</f>
        <v>8</v>
      </c>
      <c r="D43" s="272"/>
      <c r="E43" s="272">
        <f t="shared" si="6"/>
        <v>0</v>
      </c>
      <c r="F43" s="272">
        <f t="shared" si="6"/>
        <v>0</v>
      </c>
      <c r="G43" s="266"/>
      <c r="H43" s="152"/>
      <c r="I43" s="1080"/>
      <c r="J43" s="1467"/>
      <c r="K43" s="1467"/>
      <c r="L43" s="268">
        <f>K35</f>
        <v>60</v>
      </c>
      <c r="M43" s="269">
        <f>+(($K$35)/($K$35-2))^2</f>
        <v>1.0701545778834722</v>
      </c>
      <c r="N43" s="269">
        <f>+(($K$35)/($K$35-7))^2</f>
        <v>1.2815948736205054</v>
      </c>
    </row>
    <row r="44" spans="1:14" x14ac:dyDescent="0.3">
      <c r="A44" s="273" t="s">
        <v>229</v>
      </c>
      <c r="B44" s="272"/>
      <c r="C44" s="272"/>
      <c r="D44" s="272">
        <f t="shared" ref="D44:F44" si="7">(D$37*$M$35*D$40)</f>
        <v>21.931292274830906</v>
      </c>
      <c r="E44" s="272">
        <f t="shared" si="7"/>
        <v>0</v>
      </c>
      <c r="F44" s="272">
        <f t="shared" si="7"/>
        <v>0</v>
      </c>
      <c r="G44" s="274"/>
      <c r="H44" s="275"/>
      <c r="I44" s="1080"/>
      <c r="J44" s="1467"/>
      <c r="K44" s="1467"/>
    </row>
    <row r="45" spans="1:14" x14ac:dyDescent="0.3">
      <c r="A45" s="271"/>
      <c r="B45" s="216"/>
      <c r="C45" s="216"/>
      <c r="D45" s="216"/>
      <c r="E45" s="216"/>
      <c r="F45" s="216"/>
      <c r="G45" s="1741" t="s">
        <v>15</v>
      </c>
      <c r="H45" s="1742"/>
      <c r="I45" s="1080"/>
    </row>
    <row r="46" spans="1:14" x14ac:dyDescent="0.3">
      <c r="A46" s="276" t="s">
        <v>230</v>
      </c>
      <c r="B46" s="216"/>
      <c r="C46" s="216"/>
      <c r="D46" s="216"/>
      <c r="E46" s="216"/>
      <c r="F46" s="216"/>
      <c r="G46" s="262" t="s">
        <v>16</v>
      </c>
      <c r="H46" s="262" t="s">
        <v>17</v>
      </c>
      <c r="I46" s="1080"/>
    </row>
    <row r="47" spans="1:14" ht="15" thickBot="1" x14ac:dyDescent="0.35">
      <c r="A47" s="277" t="s">
        <v>151</v>
      </c>
      <c r="B47" s="278">
        <f>IF(B30="W/Al",+VLOOKUP(B30,$J$69:$O$75,4),+VLOOKUP(B30,$J$69:$O$75,3))</f>
        <v>1</v>
      </c>
      <c r="C47" s="278">
        <f>IF(C30="W/Al",+VLOOKUP(C30,$J$69:$O$75,5),+VLOOKUP(C30,$J$69:$O$75,3))</f>
        <v>1.0169999999999999</v>
      </c>
      <c r="D47" s="278">
        <f>IF(D30="W/Al",+VLOOKUP(D30,$J$69:$O$75,6),+VLOOKUP(D30,$J$69:$O$75,3))</f>
        <v>1.0609999999999999</v>
      </c>
      <c r="E47" s="278">
        <f>IF(E30="W/Al","",+VLOOKUP(E30,$J$69:$O$75,3))</f>
        <v>1.042</v>
      </c>
      <c r="F47" s="278">
        <f>IF(F30="W/Al","",+VLOOKUP(F30,$J$69:$O$75,3))</f>
        <v>1.042</v>
      </c>
      <c r="G47" s="266"/>
      <c r="H47" s="152"/>
      <c r="I47" s="1080"/>
      <c r="J47" s="1054" t="s">
        <v>1020</v>
      </c>
    </row>
    <row r="48" spans="1:14" x14ac:dyDescent="0.3">
      <c r="A48" s="279" t="s">
        <v>231</v>
      </c>
      <c r="B48" s="280">
        <f>+B$42</f>
        <v>1.8313020214030915</v>
      </c>
      <c r="C48" s="280"/>
      <c r="D48" s="280"/>
      <c r="E48" s="280">
        <f t="shared" ref="E48:F48" si="8">+E$42</f>
        <v>0</v>
      </c>
      <c r="F48" s="280">
        <f t="shared" si="8"/>
        <v>0</v>
      </c>
      <c r="G48" s="152"/>
      <c r="H48" s="152"/>
      <c r="I48" s="1080"/>
      <c r="J48" s="1054" t="s">
        <v>1024</v>
      </c>
      <c r="K48" s="1054"/>
      <c r="L48" s="1054"/>
    </row>
    <row r="49" spans="1:13" ht="15" thickBot="1" x14ac:dyDescent="0.35">
      <c r="A49" s="245" t="s">
        <v>232</v>
      </c>
      <c r="B49" s="1415">
        <f>L123</f>
        <v>0.50586718169244715</v>
      </c>
      <c r="C49" s="1415"/>
      <c r="D49" s="1415"/>
      <c r="E49" s="281"/>
      <c r="F49" s="281"/>
      <c r="G49" s="152"/>
      <c r="H49" s="152"/>
      <c r="I49" s="1080"/>
    </row>
    <row r="50" spans="1:13" x14ac:dyDescent="0.3">
      <c r="A50" s="245" t="s">
        <v>233</v>
      </c>
      <c r="B50" s="1416">
        <f>L127</f>
        <v>0.90919602202332694</v>
      </c>
      <c r="C50" s="1417"/>
      <c r="D50" s="1417"/>
      <c r="E50" s="34"/>
      <c r="F50" s="34"/>
      <c r="G50" s="152"/>
      <c r="H50" s="152"/>
      <c r="I50" s="1080"/>
      <c r="J50" s="1048" t="s">
        <v>141</v>
      </c>
      <c r="K50" s="1049" t="s">
        <v>83</v>
      </c>
    </row>
    <row r="51" spans="1:13" ht="15" thickBot="1" x14ac:dyDescent="0.35">
      <c r="A51" s="282" t="s">
        <v>234</v>
      </c>
      <c r="B51" s="1418">
        <f>+B48*B49*B50*$B$47</f>
        <v>0.84227518742535334</v>
      </c>
      <c r="C51" s="1418"/>
      <c r="D51" s="1418"/>
      <c r="E51" s="283"/>
      <c r="F51" s="283"/>
      <c r="G51" s="284" t="str">
        <f>IF(B51&lt;=1,"X","")</f>
        <v>X</v>
      </c>
      <c r="H51" s="284" t="str">
        <f>IF(B51&gt;1,"X","")</f>
        <v/>
      </c>
      <c r="I51" s="1078"/>
      <c r="J51" s="292">
        <v>1</v>
      </c>
      <c r="K51" s="285">
        <v>1</v>
      </c>
    </row>
    <row r="52" spans="1:13" x14ac:dyDescent="0.3">
      <c r="A52" s="279" t="s">
        <v>235</v>
      </c>
      <c r="B52" s="1414"/>
      <c r="C52" s="1414">
        <f t="shared" ref="C52" si="9">+C$43</f>
        <v>8</v>
      </c>
      <c r="D52" s="1414"/>
      <c r="E52" s="280">
        <f t="shared" ref="E52:F52" si="10">+E$43</f>
        <v>0</v>
      </c>
      <c r="F52" s="280">
        <f t="shared" si="10"/>
        <v>0</v>
      </c>
      <c r="G52" s="152"/>
      <c r="H52" s="152"/>
      <c r="I52" s="1080"/>
      <c r="J52" s="1050"/>
      <c r="K52" s="1051"/>
    </row>
    <row r="53" spans="1:13" x14ac:dyDescent="0.3">
      <c r="A53" s="245" t="s">
        <v>236</v>
      </c>
      <c r="B53" s="1417"/>
      <c r="C53" s="1415">
        <f>M123</f>
        <v>0.245</v>
      </c>
      <c r="D53" s="1415"/>
      <c r="E53" s="281"/>
      <c r="F53" s="281"/>
      <c r="G53" s="152"/>
      <c r="H53" s="152"/>
      <c r="I53" s="1080"/>
      <c r="J53" s="1050"/>
      <c r="K53" s="1051"/>
    </row>
    <row r="54" spans="1:13" ht="15" thickBot="1" x14ac:dyDescent="0.35">
      <c r="A54" s="245" t="s">
        <v>237</v>
      </c>
      <c r="B54" s="1419"/>
      <c r="C54" s="1420">
        <f>M127</f>
        <v>1.0960000000000003</v>
      </c>
      <c r="D54" s="1417"/>
      <c r="E54" s="34"/>
      <c r="F54" s="34"/>
      <c r="G54" s="152"/>
      <c r="H54" s="152"/>
      <c r="I54" s="1080"/>
      <c r="J54" s="1050"/>
      <c r="K54" s="1051"/>
    </row>
    <row r="55" spans="1:13" ht="15" thickBot="1" x14ac:dyDescent="0.35">
      <c r="A55" s="282" t="s">
        <v>1090</v>
      </c>
      <c r="B55" s="1421"/>
      <c r="C55" s="1422">
        <f>IF(C$52=0,"",+C52*C53*C54*C47)</f>
        <v>2.1846787200000004</v>
      </c>
      <c r="D55" s="1423"/>
      <c r="E55" s="34"/>
      <c r="F55" s="34"/>
      <c r="G55" s="284" t="str">
        <f>IF(Éqpmt!B6="CR",IF(C55&lt;=J55,"X",""),IF(C55&lt;=K55,"X",""))</f>
        <v/>
      </c>
      <c r="H55" s="284" t="str">
        <f>IF(Éqpmt!B6="CR",IF(C55&lt;=J55,"","X"),IF(C55&lt;=K55,"","X"))</f>
        <v>X</v>
      </c>
      <c r="I55" s="1078"/>
      <c r="J55" s="292">
        <v>2.5</v>
      </c>
      <c r="K55" s="285">
        <v>2</v>
      </c>
    </row>
    <row r="56" spans="1:13" x14ac:dyDescent="0.3">
      <c r="A56" s="279" t="s">
        <v>238</v>
      </c>
      <c r="B56" s="1414"/>
      <c r="C56" s="1414"/>
      <c r="D56" s="1414">
        <f t="shared" ref="D56" si="11">+D$44</f>
        <v>21.931292274830906</v>
      </c>
      <c r="E56" s="280">
        <f t="shared" ref="E56:F56" si="12">+E$44</f>
        <v>0</v>
      </c>
      <c r="F56" s="280">
        <f t="shared" si="12"/>
        <v>0</v>
      </c>
      <c r="G56" s="152"/>
      <c r="H56" s="152"/>
      <c r="I56" s="1080"/>
      <c r="J56" s="1050"/>
      <c r="K56" s="1051"/>
    </row>
    <row r="57" spans="1:13" ht="14.4" customHeight="1" x14ac:dyDescent="0.3">
      <c r="A57" s="245" t="s">
        <v>239</v>
      </c>
      <c r="B57" s="1417"/>
      <c r="C57" s="1415"/>
      <c r="D57" s="1415">
        <f>N123</f>
        <v>0.1295538846504668</v>
      </c>
      <c r="E57" s="281"/>
      <c r="F57" s="281"/>
      <c r="G57" s="152"/>
      <c r="H57" s="152"/>
      <c r="I57" s="1080"/>
      <c r="J57" s="1050"/>
      <c r="K57" s="1051"/>
    </row>
    <row r="58" spans="1:13" ht="14.4" customHeight="1" x14ac:dyDescent="0.3">
      <c r="A58" s="245" t="s">
        <v>240</v>
      </c>
      <c r="B58" s="1417"/>
      <c r="C58" s="1417"/>
      <c r="D58" s="1415">
        <f>N127</f>
        <v>1.2724792751344358</v>
      </c>
      <c r="E58" s="34"/>
      <c r="F58" s="34"/>
      <c r="G58" s="152"/>
      <c r="H58" s="152"/>
      <c r="I58" s="1080"/>
      <c r="J58" s="1050"/>
      <c r="K58" s="1051"/>
    </row>
    <row r="59" spans="1:13" ht="14.4" customHeight="1" thickBot="1" x14ac:dyDescent="0.35">
      <c r="A59" s="282" t="s">
        <v>241</v>
      </c>
      <c r="B59" s="1418"/>
      <c r="C59" s="1424"/>
      <c r="D59" s="1424">
        <f>IF(D$56=0,"",+D56*D57*D58*D47)</f>
        <v>3.8360191280454301</v>
      </c>
      <c r="E59" s="1428"/>
      <c r="F59" s="1428"/>
      <c r="G59" s="284" t="str">
        <f>IF(Éqpmt!B6="CR",IF(D59&lt;=J59,"X",""),IF(D59&lt;=K59,"X",""))</f>
        <v>X</v>
      </c>
      <c r="H59" s="284" t="str">
        <f>IF(Éqpmt!B6="CR",IF(D59&lt;=J59,"","X"),IF(D59&lt;=K59,"","X"))</f>
        <v/>
      </c>
      <c r="I59" s="1078"/>
      <c r="J59" s="293">
        <v>6.5</v>
      </c>
      <c r="K59" s="287">
        <v>5.0999999999999996</v>
      </c>
    </row>
    <row r="60" spans="1:13" ht="14.4" customHeight="1" x14ac:dyDescent="0.3">
      <c r="A60" s="557" t="s">
        <v>888</v>
      </c>
      <c r="B60" s="62"/>
      <c r="C60" s="62"/>
      <c r="D60" s="62"/>
      <c r="E60" s="62"/>
      <c r="F60" s="62"/>
      <c r="G60" s="62"/>
      <c r="H60" s="62"/>
      <c r="I60" s="1080"/>
    </row>
    <row r="61" spans="1:13" ht="14.4" customHeight="1" thickBot="1" x14ac:dyDescent="0.35">
      <c r="A61" s="557" t="s">
        <v>1037</v>
      </c>
      <c r="B61" s="62"/>
      <c r="C61" s="62"/>
      <c r="D61" s="62"/>
      <c r="E61" s="62"/>
      <c r="F61" s="62"/>
      <c r="G61" s="62"/>
      <c r="H61" s="62"/>
      <c r="I61" s="1080"/>
    </row>
    <row r="62" spans="1:13" ht="14.4" customHeight="1" x14ac:dyDescent="0.3">
      <c r="A62" s="557" t="s">
        <v>1038</v>
      </c>
      <c r="B62" s="62"/>
      <c r="C62" s="62"/>
      <c r="D62" s="62"/>
      <c r="E62" s="62"/>
      <c r="F62" s="62"/>
      <c r="G62" s="62"/>
      <c r="H62" s="62"/>
      <c r="I62" s="1080"/>
      <c r="J62" s="289" t="s">
        <v>242</v>
      </c>
      <c r="K62" s="290" t="s">
        <v>243</v>
      </c>
      <c r="L62" s="290" t="s">
        <v>1015</v>
      </c>
      <c r="M62" s="291" t="s">
        <v>1016</v>
      </c>
    </row>
    <row r="63" spans="1:13" x14ac:dyDescent="0.3">
      <c r="A63" s="1743" t="s">
        <v>630</v>
      </c>
      <c r="B63" s="1743"/>
      <c r="C63" s="1744"/>
      <c r="D63" s="1744"/>
      <c r="E63" s="1744"/>
      <c r="F63" s="1744"/>
      <c r="G63" s="1744"/>
      <c r="H63" s="1744"/>
      <c r="I63" s="1123" t="s">
        <v>490</v>
      </c>
      <c r="J63" s="292">
        <v>20</v>
      </c>
      <c r="K63" s="1047">
        <v>21</v>
      </c>
      <c r="L63" s="252">
        <v>1</v>
      </c>
      <c r="M63" s="285">
        <v>1</v>
      </c>
    </row>
    <row r="64" spans="1:13" x14ac:dyDescent="0.3">
      <c r="A64" s="1737"/>
      <c r="B64" s="1737"/>
      <c r="C64" s="1737"/>
      <c r="D64" s="1737"/>
      <c r="E64" s="1737"/>
      <c r="F64" s="1737"/>
      <c r="G64" s="1737"/>
      <c r="H64" s="1737"/>
      <c r="I64" s="1083">
        <f>+COUNTIF(H59,"X")+COUNTIF(H55,"X")+COUNTIF(H51,"X")+COUNTIF(H21,"X")</f>
        <v>2</v>
      </c>
      <c r="J64" s="292">
        <v>45</v>
      </c>
      <c r="K64" s="1047">
        <v>53</v>
      </c>
      <c r="L64" s="252">
        <v>2.5</v>
      </c>
      <c r="M64" s="285">
        <v>2</v>
      </c>
    </row>
    <row r="65" spans="1:15" ht="15" thickBot="1" x14ac:dyDescent="0.35">
      <c r="A65" s="1738"/>
      <c r="B65" s="1738"/>
      <c r="C65" s="1738"/>
      <c r="D65" s="1738"/>
      <c r="E65" s="1738"/>
      <c r="F65" s="1738"/>
      <c r="G65" s="1738"/>
      <c r="H65" s="1738"/>
      <c r="J65" s="293">
        <v>70</v>
      </c>
      <c r="K65" s="294">
        <v>90</v>
      </c>
      <c r="L65" s="286">
        <v>6.5</v>
      </c>
      <c r="M65" s="287">
        <v>5.0999999999999996</v>
      </c>
    </row>
    <row r="66" spans="1:15" ht="17.25" customHeight="1" x14ac:dyDescent="0.3"/>
    <row r="67" spans="1:15" ht="15" thickBot="1" x14ac:dyDescent="0.35"/>
    <row r="68" spans="1:15" ht="43.2" x14ac:dyDescent="0.3">
      <c r="J68" s="295" t="s">
        <v>244</v>
      </c>
      <c r="K68" s="296" t="s">
        <v>245</v>
      </c>
      <c r="L68" s="1204" t="s">
        <v>246</v>
      </c>
      <c r="M68" s="1057" t="s">
        <v>1021</v>
      </c>
      <c r="N68" s="1057" t="s">
        <v>1022</v>
      </c>
      <c r="O68" s="1057" t="s">
        <v>1023</v>
      </c>
    </row>
    <row r="69" spans="1:15" x14ac:dyDescent="0.3">
      <c r="J69" s="297" t="s">
        <v>66</v>
      </c>
      <c r="K69" s="298">
        <v>30</v>
      </c>
      <c r="L69" s="1055">
        <v>1</v>
      </c>
      <c r="M69" s="232"/>
      <c r="N69" s="232"/>
      <c r="O69" s="232"/>
    </row>
    <row r="70" spans="1:15" x14ac:dyDescent="0.3">
      <c r="J70" s="297" t="s">
        <v>123</v>
      </c>
      <c r="K70" s="298">
        <v>25</v>
      </c>
      <c r="L70" s="1055">
        <v>1.0169999999999999</v>
      </c>
      <c r="M70" s="232"/>
      <c r="N70" s="232"/>
      <c r="O70" s="232"/>
    </row>
    <row r="71" spans="1:15" x14ac:dyDescent="0.3">
      <c r="J71" s="297" t="s">
        <v>912</v>
      </c>
      <c r="K71" s="298">
        <v>30</v>
      </c>
      <c r="L71" s="1055">
        <v>1.087</v>
      </c>
      <c r="M71" s="232"/>
      <c r="N71" s="232"/>
      <c r="O71" s="232"/>
    </row>
    <row r="72" spans="1:15" x14ac:dyDescent="0.3">
      <c r="B72" s="299"/>
      <c r="C72" s="299"/>
      <c r="D72" s="299"/>
      <c r="E72" s="299"/>
      <c r="F72" s="299"/>
      <c r="J72" s="297" t="s">
        <v>124</v>
      </c>
      <c r="K72" s="298">
        <v>25</v>
      </c>
      <c r="L72" s="1055">
        <v>1.0609999999999999</v>
      </c>
      <c r="M72" s="232"/>
      <c r="N72" s="232"/>
      <c r="O72" s="232"/>
    </row>
    <row r="73" spans="1:15" x14ac:dyDescent="0.3">
      <c r="B73" s="299"/>
      <c r="C73" s="299"/>
      <c r="D73" s="299"/>
      <c r="E73" s="299"/>
      <c r="F73" s="299"/>
      <c r="J73" s="1052" t="s">
        <v>202</v>
      </c>
      <c r="K73" s="1053" t="s">
        <v>247</v>
      </c>
      <c r="L73" s="1056">
        <v>1.042</v>
      </c>
      <c r="M73" s="232"/>
      <c r="N73" s="232"/>
      <c r="O73" s="232"/>
    </row>
    <row r="74" spans="1:15" x14ac:dyDescent="0.3">
      <c r="B74" s="299"/>
      <c r="C74" s="299"/>
      <c r="D74" s="299"/>
      <c r="E74" s="299"/>
      <c r="F74" s="299"/>
      <c r="J74" s="1128" t="s">
        <v>203</v>
      </c>
      <c r="K74" s="298">
        <v>500</v>
      </c>
      <c r="L74" s="1055"/>
      <c r="M74" s="232">
        <v>1.075</v>
      </c>
      <c r="N74" s="232">
        <v>1.149</v>
      </c>
      <c r="O74" s="232">
        <v>1.198</v>
      </c>
    </row>
    <row r="75" spans="1:15" x14ac:dyDescent="0.3">
      <c r="B75" s="299"/>
      <c r="C75" s="299"/>
      <c r="D75" s="299"/>
      <c r="E75" s="299"/>
      <c r="F75" s="299"/>
      <c r="J75" s="1128" t="s">
        <v>204</v>
      </c>
      <c r="K75" s="298" t="s">
        <v>248</v>
      </c>
      <c r="L75" s="1055">
        <v>1.042</v>
      </c>
      <c r="M75" s="232"/>
      <c r="N75" s="232"/>
      <c r="O75" s="232"/>
    </row>
    <row r="76" spans="1:15" ht="15" thickBot="1" x14ac:dyDescent="0.35">
      <c r="J76" s="302"/>
      <c r="K76" s="303"/>
      <c r="L76" s="304"/>
    </row>
    <row r="77" spans="1:15" ht="43.2" x14ac:dyDescent="0.3">
      <c r="J77" s="295" t="s">
        <v>244</v>
      </c>
      <c r="K77" s="296" t="s">
        <v>245</v>
      </c>
      <c r="L77" s="296" t="s">
        <v>246</v>
      </c>
      <c r="M77" s="305" t="s">
        <v>242</v>
      </c>
      <c r="N77" s="306" t="s">
        <v>243</v>
      </c>
    </row>
    <row r="78" spans="1:15" x14ac:dyDescent="0.3">
      <c r="J78" s="297" t="s">
        <v>203</v>
      </c>
      <c r="K78" s="298">
        <v>500</v>
      </c>
      <c r="L78" s="307">
        <v>1.075</v>
      </c>
      <c r="M78" s="298">
        <v>20</v>
      </c>
      <c r="N78" s="308">
        <v>21</v>
      </c>
    </row>
    <row r="79" spans="1:15" x14ac:dyDescent="0.3">
      <c r="J79" s="297" t="s">
        <v>203</v>
      </c>
      <c r="K79" s="298">
        <v>500</v>
      </c>
      <c r="L79" s="307">
        <v>1.1040000000000001</v>
      </c>
      <c r="M79" s="298">
        <v>30</v>
      </c>
      <c r="N79" s="308">
        <v>32</v>
      </c>
    </row>
    <row r="80" spans="1:15" x14ac:dyDescent="0.3">
      <c r="J80" s="297" t="s">
        <v>203</v>
      </c>
      <c r="K80" s="298">
        <v>500</v>
      </c>
      <c r="L80" s="307">
        <v>1.1339999999999999</v>
      </c>
      <c r="M80" s="298">
        <v>40</v>
      </c>
      <c r="N80" s="308">
        <v>45</v>
      </c>
    </row>
    <row r="81" spans="10:20" x14ac:dyDescent="0.3">
      <c r="J81" s="297" t="s">
        <v>203</v>
      </c>
      <c r="K81" s="298">
        <v>500</v>
      </c>
      <c r="L81" s="307">
        <v>1.149</v>
      </c>
      <c r="M81" s="298">
        <v>45</v>
      </c>
      <c r="N81" s="308">
        <v>53</v>
      </c>
    </row>
    <row r="82" spans="10:20" x14ac:dyDescent="0.3">
      <c r="J82" s="297" t="s">
        <v>203</v>
      </c>
      <c r="K82" s="298">
        <v>500</v>
      </c>
      <c r="L82" s="307">
        <v>1.1599999999999999</v>
      </c>
      <c r="M82" s="298">
        <v>50</v>
      </c>
      <c r="N82" s="308">
        <v>60</v>
      </c>
    </row>
    <row r="83" spans="10:20" x14ac:dyDescent="0.3">
      <c r="J83" s="297" t="s">
        <v>203</v>
      </c>
      <c r="K83" s="298">
        <v>500</v>
      </c>
      <c r="L83" s="307">
        <v>1.181</v>
      </c>
      <c r="M83" s="298">
        <v>60</v>
      </c>
      <c r="N83" s="308">
        <v>75</v>
      </c>
    </row>
    <row r="84" spans="10:20" x14ac:dyDescent="0.3">
      <c r="J84" s="297" t="s">
        <v>203</v>
      </c>
      <c r="K84" s="298">
        <v>500</v>
      </c>
      <c r="L84" s="307">
        <v>1.198</v>
      </c>
      <c r="M84" s="298">
        <v>70</v>
      </c>
      <c r="N84" s="308">
        <v>90</v>
      </c>
    </row>
    <row r="85" spans="10:20" ht="15" thickBot="1" x14ac:dyDescent="0.35">
      <c r="J85" s="300" t="s">
        <v>203</v>
      </c>
      <c r="K85" s="301">
        <v>500</v>
      </c>
      <c r="L85" s="309">
        <v>1.208</v>
      </c>
      <c r="M85" s="301">
        <v>80</v>
      </c>
      <c r="N85" s="310">
        <v>103</v>
      </c>
    </row>
    <row r="86" spans="10:20" x14ac:dyDescent="0.3">
      <c r="J86" s="302"/>
      <c r="K86" s="303"/>
      <c r="L86" s="304"/>
    </row>
    <row r="87" spans="10:20" ht="15" thickBot="1" x14ac:dyDescent="0.35"/>
    <row r="88" spans="10:20" ht="43.2" x14ac:dyDescent="0.3">
      <c r="J88" s="311" t="s">
        <v>242</v>
      </c>
      <c r="K88" s="305" t="s">
        <v>243</v>
      </c>
      <c r="L88" s="305" t="s">
        <v>249</v>
      </c>
      <c r="M88" s="312"/>
      <c r="N88" s="1730" t="s">
        <v>250</v>
      </c>
      <c r="O88" s="1731"/>
      <c r="P88" s="1731"/>
      <c r="Q88" s="1731"/>
      <c r="R88" s="1731"/>
      <c r="S88" s="1731"/>
      <c r="T88" s="1732"/>
    </row>
    <row r="89" spans="10:20" ht="15" thickBot="1" x14ac:dyDescent="0.35">
      <c r="J89" s="313"/>
      <c r="K89" s="314"/>
      <c r="L89" s="314"/>
      <c r="M89" s="314"/>
      <c r="N89" s="315">
        <v>0.3</v>
      </c>
      <c r="O89" s="315">
        <v>0.35</v>
      </c>
      <c r="P89" s="315">
        <v>0.4</v>
      </c>
      <c r="Q89" s="315">
        <v>0.45</v>
      </c>
      <c r="R89" s="315">
        <v>0.5</v>
      </c>
      <c r="S89" s="315">
        <v>0.55000000000000004</v>
      </c>
      <c r="T89" s="316">
        <v>0.6</v>
      </c>
    </row>
    <row r="90" spans="10:20" x14ac:dyDescent="0.3">
      <c r="J90" s="1724">
        <v>20</v>
      </c>
      <c r="K90" s="1726">
        <v>21</v>
      </c>
      <c r="L90" s="1726">
        <v>97</v>
      </c>
      <c r="M90" s="317" t="s">
        <v>251</v>
      </c>
      <c r="N90" s="318">
        <v>0.378</v>
      </c>
      <c r="O90" s="318">
        <v>0.42099999999999999</v>
      </c>
      <c r="P90" s="318">
        <v>0.46</v>
      </c>
      <c r="Q90" s="318">
        <v>0.496</v>
      </c>
      <c r="R90" s="318">
        <v>0.52900000000000003</v>
      </c>
      <c r="S90" s="318">
        <v>0.55900000000000005</v>
      </c>
      <c r="T90" s="319">
        <v>0.58499999999999996</v>
      </c>
    </row>
    <row r="91" spans="10:20" x14ac:dyDescent="0.3">
      <c r="J91" s="1728"/>
      <c r="K91" s="1729"/>
      <c r="L91" s="1729"/>
      <c r="M91" s="317" t="s">
        <v>156</v>
      </c>
      <c r="N91" s="320">
        <v>0.88900000000000001</v>
      </c>
      <c r="O91" s="320">
        <v>0.89500000000000002</v>
      </c>
      <c r="P91" s="320">
        <v>0.90300000000000002</v>
      </c>
      <c r="Q91" s="320">
        <v>0.90800000000000003</v>
      </c>
      <c r="R91" s="320">
        <v>0.91200000000000003</v>
      </c>
      <c r="S91" s="320">
        <v>0.91700000000000004</v>
      </c>
      <c r="T91" s="321">
        <v>0.92100000000000004</v>
      </c>
    </row>
    <row r="92" spans="10:20" x14ac:dyDescent="0.3">
      <c r="J92" s="1724">
        <v>30</v>
      </c>
      <c r="K92" s="1726">
        <v>32</v>
      </c>
      <c r="L92" s="1726">
        <v>67</v>
      </c>
      <c r="M92" s="317" t="s">
        <v>251</v>
      </c>
      <c r="N92" s="320">
        <v>0.26100000000000001</v>
      </c>
      <c r="O92" s="320">
        <v>0.29399999999999998</v>
      </c>
      <c r="P92" s="320">
        <v>0.32600000000000001</v>
      </c>
      <c r="Q92" s="320">
        <v>0.35699999999999998</v>
      </c>
      <c r="R92" s="320">
        <v>0.38800000000000001</v>
      </c>
      <c r="S92" s="320">
        <v>0.41899999999999998</v>
      </c>
      <c r="T92" s="321">
        <v>0.44800000000000001</v>
      </c>
    </row>
    <row r="93" spans="10:20" x14ac:dyDescent="0.3">
      <c r="J93" s="1728"/>
      <c r="K93" s="1729"/>
      <c r="L93" s="1729"/>
      <c r="M93" s="317" t="s">
        <v>156</v>
      </c>
      <c r="N93" s="320">
        <v>0.94</v>
      </c>
      <c r="O93" s="320">
        <v>0.94299999999999995</v>
      </c>
      <c r="P93" s="320">
        <v>0.94499999999999995</v>
      </c>
      <c r="Q93" s="320">
        <v>0.94599999999999995</v>
      </c>
      <c r="R93" s="320">
        <v>0.94899999999999995</v>
      </c>
      <c r="S93" s="320">
        <v>0.95199999999999996</v>
      </c>
      <c r="T93" s="321">
        <v>0.95299999999999996</v>
      </c>
    </row>
    <row r="94" spans="10:20" x14ac:dyDescent="0.3">
      <c r="J94" s="1724">
        <v>40</v>
      </c>
      <c r="K94" s="1726">
        <v>45</v>
      </c>
      <c r="L94" s="1726">
        <v>41</v>
      </c>
      <c r="M94" s="317" t="s">
        <v>251</v>
      </c>
      <c r="N94" s="320">
        <v>0.183</v>
      </c>
      <c r="O94" s="320">
        <v>0.20799999999999999</v>
      </c>
      <c r="P94" s="320">
        <v>0.23200000000000001</v>
      </c>
      <c r="Q94" s="320">
        <v>0.25800000000000001</v>
      </c>
      <c r="R94" s="320">
        <v>0.28499999999999998</v>
      </c>
      <c r="S94" s="320">
        <v>0.311</v>
      </c>
      <c r="T94" s="321">
        <v>0.33900000000000002</v>
      </c>
    </row>
    <row r="95" spans="10:20" x14ac:dyDescent="0.3">
      <c r="J95" s="1728"/>
      <c r="K95" s="1729"/>
      <c r="L95" s="1729"/>
      <c r="M95" s="317" t="s">
        <v>156</v>
      </c>
      <c r="N95" s="320">
        <v>1.0429999999999999</v>
      </c>
      <c r="O95" s="320">
        <v>1.0409999999999999</v>
      </c>
      <c r="P95" s="320">
        <v>1.04</v>
      </c>
      <c r="Q95" s="320">
        <v>1.0389999999999999</v>
      </c>
      <c r="R95" s="320">
        <v>1.0369999999999999</v>
      </c>
      <c r="S95" s="320">
        <v>1.0349999999999999</v>
      </c>
      <c r="T95" s="321">
        <v>1.034</v>
      </c>
    </row>
    <row r="96" spans="10:20" x14ac:dyDescent="0.3">
      <c r="J96" s="1724">
        <v>45</v>
      </c>
      <c r="K96" s="1726">
        <v>53</v>
      </c>
      <c r="L96" s="1726">
        <v>29</v>
      </c>
      <c r="M96" s="317" t="s">
        <v>251</v>
      </c>
      <c r="N96" s="320">
        <v>0.155</v>
      </c>
      <c r="O96" s="320">
        <v>0.17699999999999999</v>
      </c>
      <c r="P96" s="320">
        <v>0.19800000000000001</v>
      </c>
      <c r="Q96" s="320">
        <v>0.22</v>
      </c>
      <c r="R96" s="320">
        <v>0.245</v>
      </c>
      <c r="S96" s="320">
        <v>0.27200000000000002</v>
      </c>
      <c r="T96" s="321">
        <v>0.29499999999999998</v>
      </c>
    </row>
    <row r="97" spans="10:20" x14ac:dyDescent="0.3">
      <c r="J97" s="1728"/>
      <c r="K97" s="1729"/>
      <c r="L97" s="1729"/>
      <c r="M97" s="317" t="s">
        <v>156</v>
      </c>
      <c r="N97" s="320">
        <v>1.109</v>
      </c>
      <c r="O97" s="320">
        <v>1.105</v>
      </c>
      <c r="P97" s="320">
        <v>1.1020000000000001</v>
      </c>
      <c r="Q97" s="320">
        <v>1.099</v>
      </c>
      <c r="R97" s="320">
        <v>1.0960000000000001</v>
      </c>
      <c r="S97" s="320">
        <v>1.091</v>
      </c>
      <c r="T97" s="321">
        <v>1.0880000000000001</v>
      </c>
    </row>
    <row r="98" spans="10:20" x14ac:dyDescent="0.3">
      <c r="J98" s="1724">
        <v>50</v>
      </c>
      <c r="K98" s="1726">
        <v>60</v>
      </c>
      <c r="L98" s="1726">
        <v>20</v>
      </c>
      <c r="M98" s="317" t="s">
        <v>251</v>
      </c>
      <c r="N98" s="320">
        <v>0.13500000000000001</v>
      </c>
      <c r="O98" s="320">
        <v>0.154</v>
      </c>
      <c r="P98" s="320">
        <v>0.17199999999999999</v>
      </c>
      <c r="Q98" s="320">
        <v>0.192</v>
      </c>
      <c r="R98" s="320">
        <v>0.214</v>
      </c>
      <c r="S98" s="320">
        <v>0.23599999999999999</v>
      </c>
      <c r="T98" s="321">
        <v>0.26100000000000001</v>
      </c>
    </row>
    <row r="99" spans="10:20" x14ac:dyDescent="0.3">
      <c r="J99" s="1728"/>
      <c r="K99" s="1729"/>
      <c r="L99" s="1729"/>
      <c r="M99" s="317" t="s">
        <v>156</v>
      </c>
      <c r="N99" s="320">
        <v>1.1639999999999999</v>
      </c>
      <c r="O99" s="320">
        <v>1.1599999999999999</v>
      </c>
      <c r="P99" s="320">
        <v>1.151</v>
      </c>
      <c r="Q99" s="320">
        <v>1.1499999999999999</v>
      </c>
      <c r="R99" s="320">
        <v>1.1439999999999999</v>
      </c>
      <c r="S99" s="320">
        <v>1.139</v>
      </c>
      <c r="T99" s="321">
        <v>1.1339999999999999</v>
      </c>
    </row>
    <row r="100" spans="10:20" x14ac:dyDescent="0.3">
      <c r="J100" s="1724">
        <v>60</v>
      </c>
      <c r="K100" s="1726">
        <v>75</v>
      </c>
      <c r="L100" s="1726">
        <v>9</v>
      </c>
      <c r="M100" s="317" t="s">
        <v>251</v>
      </c>
      <c r="N100" s="320">
        <v>0.106</v>
      </c>
      <c r="O100" s="320">
        <v>0.121</v>
      </c>
      <c r="P100" s="320">
        <v>0.13600000000000001</v>
      </c>
      <c r="Q100" s="320">
        <v>0.152</v>
      </c>
      <c r="R100" s="320">
        <v>0.16600000000000001</v>
      </c>
      <c r="S100" s="320">
        <v>0.189</v>
      </c>
      <c r="T100" s="321">
        <v>0.21</v>
      </c>
    </row>
    <row r="101" spans="10:20" x14ac:dyDescent="0.3">
      <c r="J101" s="1728"/>
      <c r="K101" s="1729"/>
      <c r="L101" s="1729"/>
      <c r="M101" s="317" t="s">
        <v>156</v>
      </c>
      <c r="N101" s="320">
        <v>1.254</v>
      </c>
      <c r="O101" s="320">
        <v>1.2450000000000001</v>
      </c>
      <c r="P101" s="320">
        <v>1.2350000000000001</v>
      </c>
      <c r="Q101" s="320">
        <v>1.2310000000000001</v>
      </c>
      <c r="R101" s="320">
        <v>1.2250000000000001</v>
      </c>
      <c r="S101" s="320">
        <v>1.2170000000000001</v>
      </c>
      <c r="T101" s="321">
        <v>1.2070000000000001</v>
      </c>
    </row>
    <row r="102" spans="10:20" x14ac:dyDescent="0.3">
      <c r="J102" s="1724">
        <v>70</v>
      </c>
      <c r="K102" s="1726">
        <v>90</v>
      </c>
      <c r="L102" s="1726">
        <v>4</v>
      </c>
      <c r="M102" s="317" t="s">
        <v>251</v>
      </c>
      <c r="N102" s="320">
        <v>8.5999999999999993E-2</v>
      </c>
      <c r="O102" s="320">
        <v>9.8000000000000004E-2</v>
      </c>
      <c r="P102" s="320">
        <v>0.111</v>
      </c>
      <c r="Q102" s="320">
        <v>0.123</v>
      </c>
      <c r="R102" s="320">
        <v>0.13600000000000001</v>
      </c>
      <c r="S102" s="320">
        <v>0.154</v>
      </c>
      <c r="T102" s="321">
        <v>0.17199999999999999</v>
      </c>
    </row>
    <row r="103" spans="10:20" x14ac:dyDescent="0.3">
      <c r="J103" s="1728"/>
      <c r="K103" s="1729"/>
      <c r="L103" s="1729"/>
      <c r="M103" s="317" t="s">
        <v>156</v>
      </c>
      <c r="N103" s="320">
        <v>1.2989999999999999</v>
      </c>
      <c r="O103" s="320">
        <v>1.292</v>
      </c>
      <c r="P103" s="320">
        <v>1.282</v>
      </c>
      <c r="Q103" s="320">
        <v>1.2749999999999999</v>
      </c>
      <c r="R103" s="320">
        <v>1.27</v>
      </c>
      <c r="S103" s="320">
        <v>1.26</v>
      </c>
      <c r="T103" s="321">
        <v>1.2490000000000001</v>
      </c>
    </row>
    <row r="104" spans="10:20" x14ac:dyDescent="0.3">
      <c r="J104" s="1724">
        <v>80</v>
      </c>
      <c r="K104" s="1726">
        <v>103</v>
      </c>
      <c r="L104" s="1726">
        <v>3</v>
      </c>
      <c r="M104" s="317" t="s">
        <v>251</v>
      </c>
      <c r="N104" s="320">
        <v>7.3999999999999996E-2</v>
      </c>
      <c r="O104" s="320">
        <v>8.5000000000000006E-2</v>
      </c>
      <c r="P104" s="320">
        <v>9.6000000000000002E-2</v>
      </c>
      <c r="Q104" s="320">
        <v>0.106</v>
      </c>
      <c r="R104" s="320">
        <v>0.11700000000000001</v>
      </c>
      <c r="S104" s="320">
        <v>0.13300000000000001</v>
      </c>
      <c r="T104" s="321">
        <v>0.14899999999999999</v>
      </c>
    </row>
    <row r="105" spans="10:20" ht="15" thickBot="1" x14ac:dyDescent="0.35">
      <c r="J105" s="1725"/>
      <c r="K105" s="1727"/>
      <c r="L105" s="1727"/>
      <c r="M105" s="322" t="s">
        <v>156</v>
      </c>
      <c r="N105" s="323">
        <v>1.3069999999999999</v>
      </c>
      <c r="O105" s="323">
        <v>1.2989999999999999</v>
      </c>
      <c r="P105" s="323">
        <v>1.292</v>
      </c>
      <c r="Q105" s="323">
        <v>1.2869999999999999</v>
      </c>
      <c r="R105" s="323">
        <v>1.2829999999999999</v>
      </c>
      <c r="S105" s="323">
        <v>1.2729999999999999</v>
      </c>
      <c r="T105" s="324">
        <v>1.262</v>
      </c>
    </row>
    <row r="107" spans="10:20" x14ac:dyDescent="0.3">
      <c r="J107" s="1425"/>
      <c r="K107" s="1425"/>
      <c r="L107" s="1425" t="s">
        <v>1172</v>
      </c>
      <c r="M107" s="1425"/>
      <c r="N107" s="1425"/>
      <c r="O107" s="1425"/>
      <c r="P107" s="1425"/>
      <c r="Q107" s="1425"/>
      <c r="R107" s="1425"/>
      <c r="S107" s="1425"/>
    </row>
    <row r="108" spans="10:20" x14ac:dyDescent="0.3">
      <c r="J108" s="1425"/>
      <c r="K108" s="1425"/>
      <c r="L108" s="1425" t="s">
        <v>1157</v>
      </c>
      <c r="M108" s="1425"/>
      <c r="N108" s="1425"/>
      <c r="O108" s="1425"/>
      <c r="P108" s="1425"/>
      <c r="Q108" s="1425"/>
      <c r="R108" s="1425"/>
      <c r="S108" s="1425"/>
    </row>
    <row r="109" spans="10:20" x14ac:dyDescent="0.3">
      <c r="J109" s="1425"/>
      <c r="K109" s="1425"/>
      <c r="L109" s="1425"/>
      <c r="M109" s="1425"/>
      <c r="N109" s="1425"/>
      <c r="O109" s="1425"/>
      <c r="P109" s="1425"/>
      <c r="Q109" s="1425"/>
      <c r="R109" s="1425"/>
      <c r="S109" s="1425"/>
    </row>
    <row r="110" spans="10:20" x14ac:dyDescent="0.3">
      <c r="J110" s="1425"/>
      <c r="K110" s="1425"/>
      <c r="L110" s="1425">
        <v>20</v>
      </c>
      <c r="M110" s="1425">
        <v>45</v>
      </c>
      <c r="N110" s="1425">
        <v>70</v>
      </c>
      <c r="O110" s="1425"/>
      <c r="P110" s="1425"/>
      <c r="Q110" s="1425"/>
      <c r="R110" s="1425"/>
      <c r="S110" s="1425"/>
    </row>
    <row r="111" spans="10:20" x14ac:dyDescent="0.3">
      <c r="J111" s="1425"/>
      <c r="K111" s="1425" t="s">
        <v>1158</v>
      </c>
      <c r="L111" s="1426">
        <f>ROUNDUP(B$21/0.05,0)*0.05</f>
        <v>0.5</v>
      </c>
      <c r="M111" s="1426">
        <f>ROUNDUP(C$21/0.05,0)*0.05</f>
        <v>0.5</v>
      </c>
      <c r="N111" s="1426">
        <f>ROUNDUP(D$21/0.05,0)*0.05</f>
        <v>0.5</v>
      </c>
      <c r="O111" s="1425"/>
      <c r="P111" s="1425" t="s">
        <v>1159</v>
      </c>
      <c r="Q111" s="1425"/>
      <c r="R111" s="1425"/>
      <c r="S111" s="1425"/>
    </row>
    <row r="112" spans="10:20" x14ac:dyDescent="0.3">
      <c r="J112" s="1425"/>
      <c r="K112" s="1425" t="s">
        <v>1160</v>
      </c>
      <c r="L112" s="1426">
        <f>L$111-0.05</f>
        <v>0.45</v>
      </c>
      <c r="M112" s="1426">
        <f>M$111-0.05</f>
        <v>0.45</v>
      </c>
      <c r="N112" s="1426">
        <f>N$111-0.05</f>
        <v>0.45</v>
      </c>
      <c r="O112" s="1425"/>
      <c r="P112" s="1425" t="s">
        <v>1161</v>
      </c>
      <c r="Q112" s="1425"/>
      <c r="R112" s="1425"/>
      <c r="S112" s="1425"/>
    </row>
    <row r="113" spans="10:19" x14ac:dyDescent="0.3">
      <c r="J113" s="1425"/>
      <c r="K113" s="1425"/>
      <c r="L113" s="1425"/>
      <c r="M113" s="1425"/>
      <c r="N113" s="1425"/>
      <c r="O113" s="1425"/>
      <c r="P113" s="1425"/>
      <c r="Q113" s="1425"/>
      <c r="R113" s="1425"/>
      <c r="S113" s="1425"/>
    </row>
    <row r="114" spans="10:19" x14ac:dyDescent="0.3">
      <c r="J114" s="1425"/>
      <c r="K114" s="1425"/>
      <c r="L114" s="1425" t="s">
        <v>1162</v>
      </c>
      <c r="M114" s="1425"/>
      <c r="N114" s="1425"/>
      <c r="O114" s="1425"/>
      <c r="P114" s="1425"/>
      <c r="Q114" s="1425"/>
      <c r="R114" s="1425"/>
      <c r="S114" s="1425"/>
    </row>
    <row r="115" spans="10:19" x14ac:dyDescent="0.3">
      <c r="J115" s="1425"/>
      <c r="K115" s="1425" t="s">
        <v>1163</v>
      </c>
      <c r="L115" s="1425">
        <f>HLOOKUP(L111,$J$89:$T$105,2)</f>
        <v>0.52900000000000003</v>
      </c>
      <c r="M115" s="1425">
        <f>HLOOKUP(M111,$J$89:$T$105,8)</f>
        <v>0.245</v>
      </c>
      <c r="N115" s="1425">
        <f>HLOOKUP(N111,$J$89:$T$105,14)</f>
        <v>0.13600000000000001</v>
      </c>
      <c r="O115" s="1425"/>
      <c r="P115" s="1425"/>
      <c r="Q115" s="1425"/>
      <c r="R115" s="1425"/>
      <c r="S115" s="1425"/>
    </row>
    <row r="116" spans="10:19" x14ac:dyDescent="0.3">
      <c r="J116" s="1425"/>
      <c r="K116" s="1425" t="s">
        <v>1164</v>
      </c>
      <c r="L116" s="1425">
        <f>HLOOKUP(L112,$J$89:$T$105,2)</f>
        <v>0.496</v>
      </c>
      <c r="M116" s="1425">
        <f>HLOOKUP(M112,$J$89:$T$105,8)</f>
        <v>0.22</v>
      </c>
      <c r="N116" s="1425">
        <f>HLOOKUP(N112,$J$89:$T$105,14)</f>
        <v>0.123</v>
      </c>
      <c r="O116" s="1425"/>
      <c r="P116" s="1425"/>
      <c r="Q116" s="1425"/>
      <c r="R116" s="1425"/>
      <c r="S116" s="1425"/>
    </row>
    <row r="117" spans="10:19" x14ac:dyDescent="0.3">
      <c r="J117" s="1425"/>
      <c r="K117" s="1425" t="s">
        <v>1165</v>
      </c>
      <c r="L117" s="1425">
        <f>HLOOKUP(L111,$J$89:$T$105,3)</f>
        <v>0.91200000000000003</v>
      </c>
      <c r="M117" s="1425">
        <f>HLOOKUP(M111,$J$89:$T$105,9)</f>
        <v>1.0960000000000001</v>
      </c>
      <c r="N117" s="1425">
        <f>HLOOKUP(N111,$J$89:$T$105,15)</f>
        <v>1.27</v>
      </c>
      <c r="O117" s="1425"/>
      <c r="P117" s="1425"/>
      <c r="Q117" s="1425"/>
      <c r="R117" s="1425"/>
      <c r="S117" s="1425"/>
    </row>
    <row r="118" spans="10:19" x14ac:dyDescent="0.3">
      <c r="J118" s="1425"/>
      <c r="K118" s="1425" t="s">
        <v>1166</v>
      </c>
      <c r="L118" s="1425">
        <f>HLOOKUP(L112,$J$89:$T$105,3)</f>
        <v>0.90800000000000003</v>
      </c>
      <c r="M118" s="1425">
        <f>HLOOKUP(M112,$J$89:$T$105,9)</f>
        <v>1.099</v>
      </c>
      <c r="N118" s="1425">
        <f>HLOOKUP(N112,$J$89:$T$105,15)</f>
        <v>1.2749999999999999</v>
      </c>
      <c r="O118" s="1425"/>
      <c r="P118" s="1425"/>
      <c r="Q118" s="1425"/>
      <c r="R118" s="1425"/>
      <c r="S118" s="1425"/>
    </row>
    <row r="119" spans="10:19" x14ac:dyDescent="0.3">
      <c r="J119" s="1425"/>
      <c r="K119" s="1425"/>
      <c r="L119" s="1425"/>
      <c r="M119" s="1425"/>
      <c r="N119" s="1425"/>
      <c r="O119" s="1425"/>
      <c r="P119" s="1425"/>
      <c r="Q119" s="1425"/>
      <c r="R119" s="1425"/>
      <c r="S119" s="1425"/>
    </row>
    <row r="120" spans="10:19" x14ac:dyDescent="0.3">
      <c r="J120" s="1425"/>
      <c r="K120" s="1425"/>
      <c r="L120" s="1425" t="s">
        <v>1167</v>
      </c>
      <c r="M120" s="1425"/>
      <c r="N120" s="1425"/>
      <c r="O120" s="1425"/>
      <c r="P120" s="1425"/>
      <c r="Q120" s="1425"/>
      <c r="R120" s="1425"/>
      <c r="S120" s="1425"/>
    </row>
    <row r="121" spans="10:19" x14ac:dyDescent="0.3">
      <c r="J121" s="1425"/>
      <c r="K121" s="1427" t="s">
        <v>1168</v>
      </c>
      <c r="L121" s="1425">
        <f>SLOPE(L$115:L$116,L$111:L$112)</f>
        <v>0.66000000000000081</v>
      </c>
      <c r="M121" s="1425">
        <f>SLOPE(M$115:M$116,M$111:M$112)</f>
        <v>0.5</v>
      </c>
      <c r="N121" s="1425">
        <f>SLOPE(N$115:N$116,N$111:N$112)</f>
        <v>0.26000000000000029</v>
      </c>
      <c r="O121" s="1425"/>
      <c r="P121" s="1425"/>
      <c r="Q121" s="1425"/>
      <c r="R121" s="1425"/>
      <c r="S121" s="1425"/>
    </row>
    <row r="122" spans="10:19" x14ac:dyDescent="0.3">
      <c r="J122" s="1425"/>
      <c r="K122" s="1427" t="s">
        <v>1169</v>
      </c>
      <c r="L122" s="1425">
        <f>INTERCEPT(L$115:L$116,L$111:L$112)</f>
        <v>0.19899999999999957</v>
      </c>
      <c r="M122" s="1425">
        <f>INTERCEPT(M$115:M$116,M$111:M$112)</f>
        <v>-5.0000000000000044E-3</v>
      </c>
      <c r="N122" s="1425">
        <f>INTERCEPT(N$115:N$116,N$111:N$112)</f>
        <v>5.9999999999998804E-3</v>
      </c>
      <c r="O122" s="1425"/>
      <c r="P122" s="1425"/>
      <c r="Q122" s="1425"/>
      <c r="R122" s="1425"/>
      <c r="S122" s="1425"/>
    </row>
    <row r="123" spans="10:19" x14ac:dyDescent="0.3">
      <c r="J123" s="1425"/>
      <c r="K123" s="1427" t="s">
        <v>251</v>
      </c>
      <c r="L123" s="1425">
        <f>L$121*B$21+L$122</f>
        <v>0.50586718169244715</v>
      </c>
      <c r="M123" s="1425">
        <f>M$121*C$21+M$122</f>
        <v>0.245</v>
      </c>
      <c r="N123" s="1425">
        <f>N$121*D$21+N$122</f>
        <v>0.1295538846504668</v>
      </c>
      <c r="O123" s="1425" t="s">
        <v>1173</v>
      </c>
      <c r="P123" s="1425"/>
      <c r="Q123" s="1425"/>
      <c r="R123" s="1425"/>
      <c r="S123" s="1425"/>
    </row>
    <row r="124" spans="10:19" x14ac:dyDescent="0.3">
      <c r="J124" s="1425"/>
      <c r="K124" s="1427"/>
      <c r="L124" s="1425"/>
      <c r="M124" s="1425"/>
      <c r="N124" s="1425"/>
      <c r="O124" s="1425"/>
      <c r="P124" s="1425"/>
      <c r="Q124" s="1425"/>
      <c r="R124" s="1425"/>
      <c r="S124" s="1425"/>
    </row>
    <row r="125" spans="10:19" x14ac:dyDescent="0.3">
      <c r="J125" s="1425"/>
      <c r="K125" s="1427" t="s">
        <v>1170</v>
      </c>
      <c r="L125" s="1425">
        <f>SLOPE(L$117:L$118,L$111:L$112)</f>
        <v>8.0000000000000099E-2</v>
      </c>
      <c r="M125" s="1425">
        <f>SLOPE(M$117:M$118,M$111:M$112)</f>
        <v>-5.9999999999997847E-2</v>
      </c>
      <c r="N125" s="1425">
        <f>SLOPE(N$117:N$118,N$111:N$112)</f>
        <v>-9.9999999999997882E-2</v>
      </c>
      <c r="O125" s="1425"/>
      <c r="P125" s="1425"/>
      <c r="Q125" s="1425"/>
      <c r="R125" s="1425"/>
      <c r="S125" s="1425"/>
    </row>
    <row r="126" spans="10:19" x14ac:dyDescent="0.3">
      <c r="J126" s="1425"/>
      <c r="K126" s="1427" t="s">
        <v>1171</v>
      </c>
      <c r="L126" s="1425">
        <f>INTERCEPT(L$117:L$118,L$111:L$112)</f>
        <v>0.872</v>
      </c>
      <c r="M126" s="1425">
        <f>INTERCEPT(M$117:M$118,M$111:M$112)</f>
        <v>1.1259999999999992</v>
      </c>
      <c r="N126" s="1425">
        <f>INTERCEPT(N$117:N$118,N$111:N$112)</f>
        <v>1.319999999999999</v>
      </c>
      <c r="O126" s="1425"/>
      <c r="P126" s="1425"/>
      <c r="Q126" s="1425"/>
      <c r="R126" s="1425"/>
      <c r="S126" s="1425"/>
    </row>
    <row r="127" spans="10:19" x14ac:dyDescent="0.3">
      <c r="J127" s="1425"/>
      <c r="K127" s="1425" t="s">
        <v>156</v>
      </c>
      <c r="L127" s="1425">
        <f>L$125*B$21+L$126</f>
        <v>0.90919602202332694</v>
      </c>
      <c r="M127" s="1425">
        <f>M$125*C$21+M$126</f>
        <v>1.0960000000000003</v>
      </c>
      <c r="N127" s="1425">
        <f>N$125*D$21+N$126</f>
        <v>1.2724792751344358</v>
      </c>
      <c r="O127" s="1425" t="s">
        <v>1173</v>
      </c>
      <c r="P127" s="1425"/>
      <c r="Q127" s="1425"/>
      <c r="R127" s="1425"/>
      <c r="S127" s="1425"/>
    </row>
    <row r="128" spans="10:19" x14ac:dyDescent="0.3">
      <c r="J128" s="1425"/>
      <c r="K128" s="1425"/>
      <c r="L128" s="1425"/>
      <c r="M128" s="1425"/>
      <c r="N128" s="1425"/>
      <c r="O128" s="1425"/>
      <c r="P128" s="1425"/>
      <c r="Q128" s="1425"/>
      <c r="R128" s="1425"/>
      <c r="S128" s="1425"/>
    </row>
    <row r="129" spans="10:17" x14ac:dyDescent="0.3">
      <c r="J129" s="1075"/>
      <c r="K129" s="1075"/>
      <c r="L129" s="1075"/>
      <c r="M129" s="1075"/>
      <c r="N129" s="1075"/>
      <c r="O129" s="1075"/>
      <c r="P129" s="1075"/>
      <c r="Q129" s="1075"/>
    </row>
    <row r="130" spans="10:17" x14ac:dyDescent="0.3">
      <c r="J130" s="1075"/>
      <c r="K130" s="1075"/>
      <c r="L130" s="1075"/>
      <c r="M130" s="1075"/>
      <c r="N130" s="1075"/>
      <c r="O130" s="1075"/>
      <c r="P130" s="1075"/>
      <c r="Q130" s="1075"/>
    </row>
    <row r="131" spans="10:17" x14ac:dyDescent="0.3">
      <c r="J131" s="1075"/>
      <c r="K131" s="1075"/>
      <c r="L131" s="1075"/>
      <c r="M131" s="1075"/>
      <c r="N131" s="1075"/>
      <c r="O131" s="1075"/>
      <c r="P131" s="1075"/>
      <c r="Q131" s="1075"/>
    </row>
    <row r="132" spans="10:17" x14ac:dyDescent="0.3">
      <c r="J132" s="1075"/>
      <c r="K132" s="1075"/>
      <c r="L132" s="1075"/>
      <c r="M132" s="1075"/>
      <c r="N132" s="1075"/>
      <c r="O132" s="1075"/>
      <c r="P132" s="1075"/>
      <c r="Q132" s="1075"/>
    </row>
    <row r="133" spans="10:17" x14ac:dyDescent="0.3">
      <c r="J133" s="1075"/>
      <c r="K133" s="1075"/>
      <c r="L133" s="1075"/>
      <c r="M133" s="1075"/>
      <c r="N133" s="1075"/>
      <c r="O133" s="1075"/>
      <c r="P133" s="1075"/>
      <c r="Q133" s="1075"/>
    </row>
    <row r="134" spans="10:17" x14ac:dyDescent="0.3">
      <c r="J134" s="1075"/>
      <c r="K134" s="1075"/>
      <c r="L134" s="1075"/>
      <c r="M134" s="1075"/>
      <c r="N134" s="1075"/>
      <c r="O134" s="1075"/>
      <c r="P134" s="1075"/>
      <c r="Q134" s="1075"/>
    </row>
    <row r="135" spans="10:17" x14ac:dyDescent="0.3">
      <c r="J135" s="1075"/>
      <c r="K135" s="1075"/>
      <c r="L135" s="1075"/>
      <c r="M135" s="1075"/>
      <c r="N135" s="1075"/>
      <c r="O135" s="1075"/>
      <c r="P135" s="1075"/>
      <c r="Q135" s="1075"/>
    </row>
    <row r="136" spans="10:17" x14ac:dyDescent="0.3">
      <c r="J136" s="1075"/>
      <c r="K136" s="1075"/>
      <c r="L136" s="1075"/>
      <c r="M136" s="1075"/>
      <c r="N136" s="1075"/>
      <c r="O136" s="1075"/>
      <c r="P136" s="1075"/>
      <c r="Q136" s="1075"/>
    </row>
    <row r="137" spans="10:17" x14ac:dyDescent="0.3">
      <c r="J137" s="1075"/>
      <c r="K137" s="1075"/>
      <c r="L137" s="1075"/>
      <c r="M137" s="1075"/>
      <c r="N137" s="1075"/>
      <c r="O137" s="1075"/>
      <c r="P137" s="1075"/>
      <c r="Q137" s="1075"/>
    </row>
    <row r="138" spans="10:17" x14ac:dyDescent="0.3">
      <c r="J138" s="1075"/>
      <c r="K138" s="1075"/>
      <c r="L138" s="1075"/>
      <c r="M138" s="1075"/>
      <c r="N138" s="1075"/>
      <c r="O138" s="1075"/>
      <c r="P138" s="1075"/>
      <c r="Q138" s="1075"/>
    </row>
    <row r="139" spans="10:17" x14ac:dyDescent="0.3">
      <c r="J139" s="1075"/>
      <c r="K139" s="1075"/>
      <c r="L139" s="1075"/>
      <c r="M139" s="1075"/>
      <c r="N139" s="1075"/>
      <c r="O139" s="1075"/>
      <c r="P139" s="1075"/>
      <c r="Q139" s="1075"/>
    </row>
    <row r="140" spans="10:17" x14ac:dyDescent="0.3">
      <c r="J140" s="1075"/>
      <c r="K140" s="1075"/>
      <c r="L140" s="1075"/>
      <c r="M140" s="1075"/>
      <c r="N140" s="1075"/>
      <c r="O140" s="1075"/>
      <c r="P140" s="1075"/>
      <c r="Q140" s="1075"/>
    </row>
    <row r="141" spans="10:17" x14ac:dyDescent="0.3">
      <c r="J141" s="1075"/>
      <c r="K141" s="1075"/>
      <c r="L141" s="1075"/>
      <c r="M141" s="1075"/>
      <c r="N141" s="1075"/>
      <c r="O141" s="1075"/>
      <c r="P141" s="1075"/>
      <c r="Q141" s="1075"/>
    </row>
    <row r="142" spans="10:17" x14ac:dyDescent="0.3">
      <c r="J142" s="1075"/>
      <c r="K142" s="1075"/>
      <c r="L142" s="1075"/>
      <c r="M142" s="1075"/>
      <c r="N142" s="1075"/>
      <c r="O142" s="1075"/>
      <c r="P142" s="1075"/>
      <c r="Q142" s="1075"/>
    </row>
    <row r="143" spans="10:17" x14ac:dyDescent="0.3">
      <c r="J143" s="1075"/>
      <c r="K143" s="1075"/>
      <c r="L143" s="1075"/>
      <c r="M143" s="1075"/>
      <c r="N143" s="1075"/>
      <c r="O143" s="1075"/>
      <c r="P143" s="1075"/>
      <c r="Q143" s="1075"/>
    </row>
    <row r="144" spans="10:17" x14ac:dyDescent="0.3">
      <c r="J144" s="1075"/>
      <c r="K144" s="1075"/>
      <c r="L144" s="1075"/>
      <c r="M144" s="1075"/>
      <c r="N144" s="1075"/>
      <c r="O144" s="1075"/>
      <c r="P144" s="1075"/>
      <c r="Q144" s="1075"/>
    </row>
    <row r="145" spans="10:18" x14ac:dyDescent="0.3">
      <c r="J145" s="1075"/>
      <c r="K145" s="1075"/>
      <c r="L145" s="1075"/>
      <c r="M145" s="1075"/>
      <c r="N145" s="1075"/>
      <c r="O145" s="1075"/>
      <c r="P145" s="1075"/>
      <c r="Q145" s="1075"/>
    </row>
    <row r="146" spans="10:18" x14ac:dyDescent="0.3">
      <c r="J146" s="1075"/>
      <c r="K146" s="1075"/>
      <c r="L146" s="1075"/>
      <c r="M146" s="1075"/>
      <c r="N146" s="1075"/>
      <c r="O146" s="1075"/>
      <c r="P146" s="1075"/>
      <c r="Q146" s="1075"/>
    </row>
    <row r="147" spans="10:18" x14ac:dyDescent="0.3">
      <c r="J147" s="1075"/>
      <c r="K147" s="1075"/>
      <c r="L147" s="1075"/>
      <c r="M147" s="1075"/>
      <c r="N147" s="1075"/>
      <c r="O147" s="1075"/>
      <c r="P147" s="1075"/>
      <c r="Q147" s="1075"/>
    </row>
    <row r="148" spans="10:18" x14ac:dyDescent="0.3">
      <c r="J148" s="1075"/>
      <c r="K148" s="1075"/>
      <c r="L148" s="1075"/>
      <c r="M148" s="1075"/>
      <c r="N148" s="1075"/>
      <c r="O148" s="1075"/>
      <c r="P148" s="1075"/>
      <c r="Q148" s="1075"/>
    </row>
    <row r="149" spans="10:18" x14ac:dyDescent="0.3">
      <c r="J149" s="1075"/>
      <c r="K149" s="1075"/>
      <c r="L149" s="1075"/>
      <c r="M149" s="1075"/>
      <c r="N149" s="1075"/>
      <c r="O149" s="1075"/>
      <c r="P149" s="1075"/>
      <c r="Q149" s="1075"/>
    </row>
    <row r="150" spans="10:18" x14ac:dyDescent="0.3">
      <c r="J150" s="1075"/>
      <c r="K150" s="1075"/>
      <c r="L150" s="1075"/>
      <c r="M150" s="1075"/>
      <c r="N150" s="1075"/>
      <c r="O150" s="1075"/>
      <c r="P150" s="1075"/>
      <c r="Q150" s="1075"/>
    </row>
    <row r="151" spans="10:18" x14ac:dyDescent="0.3">
      <c r="K151" s="1075"/>
      <c r="M151" s="1075"/>
      <c r="O151" s="1075"/>
      <c r="Q151" s="1075"/>
      <c r="R151" s="231"/>
    </row>
    <row r="152" spans="10:18" x14ac:dyDescent="0.3">
      <c r="K152" s="1075"/>
      <c r="M152" s="1075"/>
      <c r="O152" s="1075"/>
      <c r="Q152" s="1075"/>
      <c r="R152" s="231"/>
    </row>
    <row r="153" spans="10:18" x14ac:dyDescent="0.3">
      <c r="K153" s="1075"/>
      <c r="M153" s="1075"/>
      <c r="O153" s="1075"/>
      <c r="Q153" s="1075"/>
      <c r="R153" s="231"/>
    </row>
    <row r="154" spans="10:18" x14ac:dyDescent="0.3">
      <c r="K154" s="1075"/>
      <c r="M154" s="1075"/>
      <c r="O154" s="1075"/>
      <c r="Q154" s="1075"/>
      <c r="R154" s="231"/>
    </row>
    <row r="155" spans="10:18" x14ac:dyDescent="0.3">
      <c r="K155" s="1075"/>
      <c r="M155" s="1075"/>
      <c r="O155" s="1075"/>
      <c r="Q155" s="1075"/>
      <c r="R155" s="231"/>
    </row>
    <row r="156" spans="10:18" x14ac:dyDescent="0.3">
      <c r="K156" s="1075"/>
      <c r="M156" s="1075"/>
      <c r="O156" s="1075"/>
      <c r="Q156" s="1075"/>
      <c r="R156" s="231"/>
    </row>
    <row r="157" spans="10:18" x14ac:dyDescent="0.3">
      <c r="K157" s="1075"/>
      <c r="M157" s="1075"/>
      <c r="O157" s="1075"/>
      <c r="Q157" s="1075"/>
      <c r="R157" s="231"/>
    </row>
    <row r="158" spans="10:18" x14ac:dyDescent="0.3">
      <c r="K158" s="1075"/>
      <c r="M158" s="1075"/>
      <c r="O158" s="1075"/>
      <c r="Q158" s="1075"/>
      <c r="R158" s="231"/>
    </row>
    <row r="159" spans="10:18" x14ac:dyDescent="0.3">
      <c r="K159" s="1075"/>
      <c r="M159" s="1075"/>
      <c r="O159" s="1075"/>
      <c r="Q159" s="1075"/>
      <c r="R159" s="231"/>
    </row>
    <row r="160" spans="10:18" x14ac:dyDescent="0.3">
      <c r="K160" s="1075"/>
      <c r="M160" s="1075"/>
      <c r="O160" s="1075"/>
      <c r="Q160" s="1075"/>
      <c r="R160" s="231"/>
    </row>
    <row r="161" spans="11:18" x14ac:dyDescent="0.3">
      <c r="K161" s="1075"/>
      <c r="M161" s="1075"/>
      <c r="O161" s="1075"/>
      <c r="Q161" s="1075"/>
      <c r="R161" s="231"/>
    </row>
    <row r="162" spans="11:18" x14ac:dyDescent="0.3">
      <c r="K162" s="1075"/>
      <c r="M162" s="1075"/>
      <c r="O162" s="1075"/>
      <c r="Q162" s="1075"/>
      <c r="R162" s="231"/>
    </row>
    <row r="163" spans="11:18" x14ac:dyDescent="0.3">
      <c r="K163" s="1075"/>
      <c r="M163" s="1075"/>
      <c r="O163" s="1075"/>
      <c r="Q163" s="1075"/>
      <c r="R163" s="231"/>
    </row>
    <row r="164" spans="11:18" x14ac:dyDescent="0.3">
      <c r="K164" s="1075"/>
      <c r="M164" s="1075"/>
      <c r="O164" s="1075"/>
      <c r="Q164" s="1075"/>
      <c r="R164" s="231"/>
    </row>
    <row r="165" spans="11:18" x14ac:dyDescent="0.3">
      <c r="K165" s="1075"/>
      <c r="M165" s="1075"/>
      <c r="O165" s="1075"/>
      <c r="Q165" s="1075"/>
      <c r="R165" s="231"/>
    </row>
    <row r="166" spans="11:18" x14ac:dyDescent="0.3">
      <c r="K166" s="1075"/>
      <c r="M166" s="1075"/>
      <c r="O166" s="1075"/>
      <c r="Q166" s="1075"/>
      <c r="R166" s="231"/>
    </row>
    <row r="167" spans="11:18" x14ac:dyDescent="0.3">
      <c r="K167" s="1075"/>
      <c r="M167" s="1075"/>
      <c r="O167" s="1075"/>
      <c r="Q167" s="1075"/>
      <c r="R167" s="231"/>
    </row>
    <row r="168" spans="11:18" x14ac:dyDescent="0.3">
      <c r="K168" s="1075"/>
      <c r="M168" s="1075"/>
      <c r="O168" s="1075"/>
      <c r="Q168" s="1075"/>
      <c r="R168" s="231"/>
    </row>
    <row r="169" spans="11:18" x14ac:dyDescent="0.3">
      <c r="K169" s="1075"/>
      <c r="M169" s="1075"/>
      <c r="O169" s="1075"/>
      <c r="Q169" s="1075"/>
      <c r="R169" s="231"/>
    </row>
    <row r="170" spans="11:18" x14ac:dyDescent="0.3">
      <c r="K170" s="1075"/>
      <c r="M170" s="1075"/>
      <c r="O170" s="1075"/>
      <c r="Q170" s="1075"/>
      <c r="R170" s="231"/>
    </row>
    <row r="171" spans="11:18" x14ac:dyDescent="0.3">
      <c r="K171" s="1075"/>
      <c r="M171" s="1075"/>
      <c r="O171" s="1075"/>
      <c r="Q171" s="1075"/>
      <c r="R171" s="231"/>
    </row>
    <row r="172" spans="11:18" x14ac:dyDescent="0.3">
      <c r="K172" s="1075"/>
      <c r="M172" s="1075"/>
      <c r="O172" s="1075"/>
      <c r="Q172" s="1075"/>
      <c r="R172" s="231"/>
    </row>
    <row r="173" spans="11:18" x14ac:dyDescent="0.3">
      <c r="K173" s="1075"/>
      <c r="M173" s="1075"/>
      <c r="O173" s="1075"/>
      <c r="Q173" s="1075"/>
      <c r="R173" s="231"/>
    </row>
    <row r="174" spans="11:18" x14ac:dyDescent="0.3">
      <c r="K174" s="1075"/>
      <c r="M174" s="1075"/>
      <c r="O174" s="1075"/>
      <c r="Q174" s="1075"/>
      <c r="R174" s="231"/>
    </row>
    <row r="175" spans="11:18" x14ac:dyDescent="0.3">
      <c r="K175" s="1075"/>
      <c r="M175" s="1075"/>
      <c r="O175" s="1075"/>
      <c r="Q175" s="1075"/>
      <c r="R175" s="231"/>
    </row>
    <row r="176" spans="11:18" x14ac:dyDescent="0.3">
      <c r="K176" s="1075"/>
      <c r="M176" s="1075"/>
      <c r="O176" s="1075"/>
      <c r="Q176" s="1075"/>
      <c r="R176" s="231"/>
    </row>
    <row r="177" spans="11:18" x14ac:dyDescent="0.3">
      <c r="K177" s="1075"/>
      <c r="M177" s="1075"/>
      <c r="O177" s="1075"/>
      <c r="Q177" s="1075"/>
      <c r="R177" s="231"/>
    </row>
    <row r="178" spans="11:18" x14ac:dyDescent="0.3">
      <c r="K178" s="1075"/>
      <c r="M178" s="1075"/>
      <c r="O178" s="1075"/>
      <c r="Q178" s="1075"/>
      <c r="R178" s="231"/>
    </row>
    <row r="179" spans="11:18" x14ac:dyDescent="0.3">
      <c r="K179" s="1075"/>
      <c r="M179" s="1075"/>
      <c r="O179" s="1075"/>
      <c r="Q179" s="1075"/>
      <c r="R179" s="231"/>
    </row>
    <row r="180" spans="11:18" x14ac:dyDescent="0.3">
      <c r="K180" s="1075"/>
      <c r="M180" s="1075"/>
      <c r="O180" s="1075"/>
      <c r="Q180" s="1075"/>
      <c r="R180" s="231"/>
    </row>
    <row r="181" spans="11:18" x14ac:dyDescent="0.3">
      <c r="K181" s="1075"/>
      <c r="M181" s="1075"/>
      <c r="O181" s="1075"/>
      <c r="Q181" s="1075"/>
      <c r="R181" s="231"/>
    </row>
    <row r="182" spans="11:18" x14ac:dyDescent="0.3">
      <c r="K182" s="1075"/>
      <c r="M182" s="1075"/>
      <c r="O182" s="1075"/>
      <c r="Q182" s="1075"/>
      <c r="R182" s="231"/>
    </row>
    <row r="183" spans="11:18" x14ac:dyDescent="0.3">
      <c r="K183" s="1075"/>
      <c r="M183" s="1075"/>
      <c r="O183" s="1075"/>
      <c r="Q183" s="1075"/>
      <c r="R183" s="231"/>
    </row>
    <row r="184" spans="11:18" x14ac:dyDescent="0.3">
      <c r="K184" s="1075"/>
      <c r="M184" s="1075"/>
      <c r="O184" s="1075"/>
      <c r="Q184" s="1075"/>
      <c r="R184" s="231"/>
    </row>
    <row r="185" spans="11:18" x14ac:dyDescent="0.3">
      <c r="K185" s="1075"/>
      <c r="M185" s="1075"/>
      <c r="O185" s="1075"/>
      <c r="Q185" s="1075"/>
      <c r="R185" s="231"/>
    </row>
    <row r="186" spans="11:18" x14ac:dyDescent="0.3">
      <c r="K186" s="1075"/>
      <c r="M186" s="1075"/>
      <c r="O186" s="1075"/>
      <c r="Q186" s="1075"/>
      <c r="R186" s="231"/>
    </row>
    <row r="187" spans="11:18" x14ac:dyDescent="0.3">
      <c r="K187" s="1075"/>
      <c r="M187" s="1075"/>
      <c r="O187" s="1075"/>
      <c r="Q187" s="1075"/>
      <c r="R187" s="231"/>
    </row>
    <row r="188" spans="11:18" x14ac:dyDescent="0.3">
      <c r="K188" s="1075"/>
      <c r="M188" s="1075"/>
      <c r="O188" s="1075"/>
      <c r="Q188" s="1075"/>
      <c r="R188" s="231"/>
    </row>
    <row r="189" spans="11:18" x14ac:dyDescent="0.3">
      <c r="K189" s="1075"/>
      <c r="M189" s="1075"/>
      <c r="O189" s="1075"/>
      <c r="Q189" s="1075"/>
      <c r="R189" s="231"/>
    </row>
    <row r="190" spans="11:18" x14ac:dyDescent="0.3">
      <c r="K190" s="1075"/>
      <c r="M190" s="1075"/>
      <c r="O190" s="1075"/>
      <c r="Q190" s="1075"/>
      <c r="R190" s="231"/>
    </row>
    <row r="191" spans="11:18" x14ac:dyDescent="0.3">
      <c r="K191" s="1075"/>
      <c r="M191" s="1075"/>
      <c r="O191" s="1075"/>
      <c r="Q191" s="1075"/>
      <c r="R191" s="231"/>
    </row>
    <row r="192" spans="11:18" x14ac:dyDescent="0.3">
      <c r="K192" s="1075"/>
      <c r="M192" s="1075"/>
      <c r="O192" s="1075"/>
      <c r="Q192" s="1075"/>
      <c r="R192" s="231"/>
    </row>
    <row r="193" spans="11:18" x14ac:dyDescent="0.3">
      <c r="K193" s="1075"/>
      <c r="M193" s="1075"/>
      <c r="O193" s="1075"/>
      <c r="Q193" s="1075"/>
      <c r="R193" s="231"/>
    </row>
    <row r="194" spans="11:18" x14ac:dyDescent="0.3">
      <c r="K194" s="1075"/>
      <c r="M194" s="1075"/>
      <c r="O194" s="1075"/>
      <c r="Q194" s="1075"/>
      <c r="R194" s="231"/>
    </row>
    <row r="195" spans="11:18" x14ac:dyDescent="0.3">
      <c r="K195" s="1075"/>
      <c r="M195" s="1075"/>
      <c r="O195" s="1075"/>
      <c r="Q195" s="1075"/>
      <c r="R195" s="231"/>
    </row>
    <row r="196" spans="11:18" x14ac:dyDescent="0.3">
      <c r="K196" s="1075"/>
      <c r="M196" s="1075"/>
      <c r="O196" s="1075"/>
      <c r="Q196" s="1075"/>
      <c r="R196" s="231"/>
    </row>
    <row r="197" spans="11:18" x14ac:dyDescent="0.3">
      <c r="K197" s="1075"/>
      <c r="M197" s="1075"/>
      <c r="O197" s="1075"/>
      <c r="Q197" s="1075"/>
      <c r="R197" s="231"/>
    </row>
    <row r="198" spans="11:18" x14ac:dyDescent="0.3">
      <c r="K198" s="1075"/>
      <c r="M198" s="1075"/>
      <c r="O198" s="1075"/>
      <c r="Q198" s="1075"/>
      <c r="R198" s="231"/>
    </row>
    <row r="199" spans="11:18" x14ac:dyDescent="0.3">
      <c r="K199" s="1075"/>
      <c r="M199" s="1075"/>
      <c r="O199" s="1075"/>
      <c r="Q199" s="1075"/>
      <c r="R199" s="231"/>
    </row>
    <row r="200" spans="11:18" x14ac:dyDescent="0.3">
      <c r="K200" s="1075"/>
      <c r="M200" s="1075"/>
      <c r="O200" s="1075"/>
      <c r="Q200" s="1075"/>
      <c r="R200" s="231"/>
    </row>
    <row r="201" spans="11:18" x14ac:dyDescent="0.3">
      <c r="K201" s="1075"/>
      <c r="M201" s="1075"/>
      <c r="O201" s="1075"/>
      <c r="Q201" s="1075"/>
      <c r="R201" s="231"/>
    </row>
    <row r="202" spans="11:18" x14ac:dyDescent="0.3">
      <c r="K202" s="1075"/>
      <c r="M202" s="1075"/>
      <c r="O202" s="1075"/>
      <c r="Q202" s="1075"/>
      <c r="R202" s="231"/>
    </row>
    <row r="203" spans="11:18" x14ac:dyDescent="0.3">
      <c r="K203" s="1075"/>
      <c r="M203" s="1075"/>
      <c r="O203" s="1075"/>
      <c r="Q203" s="1075"/>
      <c r="R203" s="231"/>
    </row>
    <row r="204" spans="11:18" x14ac:dyDescent="0.3">
      <c r="K204" s="1075"/>
      <c r="M204" s="1075"/>
      <c r="O204" s="1075"/>
      <c r="Q204" s="1075"/>
      <c r="R204" s="231"/>
    </row>
    <row r="205" spans="11:18" x14ac:dyDescent="0.3">
      <c r="K205" s="1075"/>
      <c r="M205" s="1075"/>
      <c r="O205" s="1075"/>
      <c r="Q205" s="1075"/>
      <c r="R205" s="231"/>
    </row>
    <row r="206" spans="11:18" x14ac:dyDescent="0.3">
      <c r="K206" s="1075"/>
      <c r="M206" s="1075"/>
      <c r="O206" s="1075"/>
      <c r="Q206" s="1075"/>
      <c r="R206" s="231"/>
    </row>
    <row r="207" spans="11:18" x14ac:dyDescent="0.3">
      <c r="K207" s="1075"/>
      <c r="M207" s="1075"/>
      <c r="O207" s="1075"/>
      <c r="Q207" s="1075"/>
      <c r="R207" s="231"/>
    </row>
    <row r="208" spans="11:18" x14ac:dyDescent="0.3">
      <c r="K208" s="1075"/>
      <c r="M208" s="1075"/>
      <c r="O208" s="1075"/>
      <c r="Q208" s="1075"/>
      <c r="R208" s="231"/>
    </row>
    <row r="209" spans="11:18" x14ac:dyDescent="0.3">
      <c r="K209" s="1075"/>
      <c r="M209" s="1075"/>
      <c r="O209" s="1075"/>
      <c r="Q209" s="1075"/>
      <c r="R209" s="231"/>
    </row>
    <row r="210" spans="11:18" x14ac:dyDescent="0.3">
      <c r="K210" s="1075"/>
      <c r="M210" s="1075"/>
      <c r="O210" s="1075"/>
      <c r="Q210" s="1075"/>
      <c r="R210" s="231"/>
    </row>
    <row r="211" spans="11:18" x14ac:dyDescent="0.3">
      <c r="K211" s="1075"/>
      <c r="M211" s="1075"/>
      <c r="O211" s="1075"/>
      <c r="Q211" s="1075"/>
      <c r="R211" s="231"/>
    </row>
    <row r="212" spans="11:18" x14ac:dyDescent="0.3">
      <c r="K212" s="1075"/>
      <c r="M212" s="1075"/>
      <c r="O212" s="1075"/>
      <c r="Q212" s="1075"/>
      <c r="R212" s="231"/>
    </row>
    <row r="213" spans="11:18" x14ac:dyDescent="0.3">
      <c r="K213" s="1075"/>
      <c r="M213" s="1075"/>
      <c r="O213" s="1075"/>
      <c r="Q213" s="1075"/>
      <c r="R213" s="231"/>
    </row>
    <row r="214" spans="11:18" x14ac:dyDescent="0.3">
      <c r="K214" s="1075"/>
      <c r="M214" s="1075"/>
      <c r="O214" s="1075"/>
      <c r="Q214" s="1075"/>
      <c r="R214" s="231"/>
    </row>
    <row r="215" spans="11:18" x14ac:dyDescent="0.3">
      <c r="K215" s="1075"/>
      <c r="M215" s="1075"/>
      <c r="O215" s="1075"/>
      <c r="Q215" s="1075"/>
      <c r="R215" s="231"/>
    </row>
    <row r="216" spans="11:18" x14ac:dyDescent="0.3">
      <c r="K216" s="1075"/>
      <c r="M216" s="1075"/>
      <c r="O216" s="1075"/>
      <c r="Q216" s="1075"/>
      <c r="R216" s="231"/>
    </row>
    <row r="217" spans="11:18" x14ac:dyDescent="0.3">
      <c r="K217" s="1075"/>
      <c r="M217" s="1075"/>
      <c r="O217" s="1075"/>
      <c r="Q217" s="1075"/>
      <c r="R217" s="231"/>
    </row>
    <row r="218" spans="11:18" x14ac:dyDescent="0.3">
      <c r="K218" s="1075"/>
      <c r="M218" s="1075"/>
      <c r="O218" s="1075"/>
      <c r="Q218" s="1075"/>
      <c r="R218" s="231"/>
    </row>
    <row r="219" spans="11:18" x14ac:dyDescent="0.3">
      <c r="K219" s="1075"/>
      <c r="M219" s="1075"/>
      <c r="O219" s="1075"/>
      <c r="Q219" s="1075"/>
      <c r="R219" s="231"/>
    </row>
    <row r="220" spans="11:18" x14ac:dyDescent="0.3">
      <c r="K220" s="1075"/>
      <c r="M220" s="1075"/>
      <c r="O220" s="1075"/>
      <c r="Q220" s="1075"/>
      <c r="R220" s="231"/>
    </row>
    <row r="221" spans="11:18" x14ac:dyDescent="0.3">
      <c r="K221" s="1075"/>
      <c r="M221" s="1075"/>
      <c r="O221" s="1075"/>
      <c r="Q221" s="1075"/>
      <c r="R221" s="231"/>
    </row>
    <row r="222" spans="11:18" x14ac:dyDescent="0.3">
      <c r="K222" s="1075"/>
      <c r="M222" s="1075"/>
      <c r="O222" s="1075"/>
      <c r="Q222" s="1075"/>
      <c r="R222" s="231"/>
    </row>
    <row r="223" spans="11:18" x14ac:dyDescent="0.3">
      <c r="K223" s="1075"/>
      <c r="M223" s="1075"/>
      <c r="O223" s="1075"/>
      <c r="Q223" s="1075"/>
      <c r="R223" s="231"/>
    </row>
    <row r="224" spans="11:18" x14ac:dyDescent="0.3">
      <c r="K224" s="1075"/>
      <c r="M224" s="1075"/>
      <c r="O224" s="1075"/>
      <c r="Q224" s="1075"/>
      <c r="R224" s="231"/>
    </row>
    <row r="225" spans="11:18" x14ac:dyDescent="0.3">
      <c r="K225" s="1075"/>
      <c r="M225" s="1075"/>
      <c r="O225" s="1075"/>
      <c r="Q225" s="1075"/>
      <c r="R225" s="231"/>
    </row>
    <row r="226" spans="11:18" x14ac:dyDescent="0.3">
      <c r="K226" s="1075"/>
      <c r="M226" s="1075"/>
      <c r="O226" s="1075"/>
      <c r="Q226" s="1075"/>
      <c r="R226" s="231"/>
    </row>
    <row r="227" spans="11:18" x14ac:dyDescent="0.3">
      <c r="K227" s="1075"/>
      <c r="M227" s="1075"/>
      <c r="O227" s="1075"/>
      <c r="Q227" s="1075"/>
      <c r="R227" s="231"/>
    </row>
    <row r="228" spans="11:18" x14ac:dyDescent="0.3">
      <c r="K228" s="1075"/>
      <c r="M228" s="1075"/>
      <c r="O228" s="1075"/>
      <c r="Q228" s="1075"/>
      <c r="R228" s="231"/>
    </row>
    <row r="229" spans="11:18" x14ac:dyDescent="0.3">
      <c r="K229" s="1075"/>
      <c r="M229" s="1075"/>
      <c r="O229" s="1075"/>
      <c r="Q229" s="1075"/>
      <c r="R229" s="231"/>
    </row>
    <row r="230" spans="11:18" x14ac:dyDescent="0.3">
      <c r="K230" s="1075"/>
      <c r="M230" s="1075"/>
      <c r="O230" s="1075"/>
      <c r="Q230" s="1075"/>
      <c r="R230" s="231"/>
    </row>
    <row r="231" spans="11:18" x14ac:dyDescent="0.3">
      <c r="K231" s="1075"/>
      <c r="M231" s="1075"/>
      <c r="O231" s="1075"/>
      <c r="Q231" s="1075"/>
      <c r="R231" s="231"/>
    </row>
    <row r="232" spans="11:18" x14ac:dyDescent="0.3">
      <c r="K232" s="1075"/>
      <c r="M232" s="1075"/>
      <c r="O232" s="1075"/>
      <c r="Q232" s="1075"/>
      <c r="R232" s="231"/>
    </row>
    <row r="233" spans="11:18" x14ac:dyDescent="0.3">
      <c r="K233" s="1075"/>
      <c r="M233" s="1075"/>
      <c r="O233" s="1075"/>
      <c r="Q233" s="1075"/>
      <c r="R233" s="231"/>
    </row>
    <row r="234" spans="11:18" x14ac:dyDescent="0.3">
      <c r="K234" s="1075"/>
      <c r="M234" s="1075"/>
      <c r="O234" s="1075"/>
      <c r="Q234" s="1075"/>
      <c r="R234" s="231"/>
    </row>
    <row r="235" spans="11:18" x14ac:dyDescent="0.3">
      <c r="K235" s="1075"/>
      <c r="M235" s="1075"/>
      <c r="O235" s="1075"/>
      <c r="Q235" s="1075"/>
      <c r="R235" s="231"/>
    </row>
    <row r="236" spans="11:18" x14ac:dyDescent="0.3">
      <c r="K236" s="1075"/>
      <c r="M236" s="1075"/>
      <c r="O236" s="1075"/>
      <c r="Q236" s="1075"/>
      <c r="R236" s="231"/>
    </row>
    <row r="237" spans="11:18" x14ac:dyDescent="0.3">
      <c r="K237" s="1075"/>
      <c r="M237" s="1075"/>
      <c r="O237" s="1075"/>
      <c r="Q237" s="1075"/>
      <c r="R237" s="231"/>
    </row>
    <row r="238" spans="11:18" x14ac:dyDescent="0.3">
      <c r="K238" s="1075"/>
      <c r="M238" s="1075"/>
      <c r="O238" s="1075"/>
      <c r="Q238" s="1075"/>
      <c r="R238" s="231"/>
    </row>
    <row r="239" spans="11:18" x14ac:dyDescent="0.3">
      <c r="K239" s="1075"/>
      <c r="M239" s="1075"/>
      <c r="O239" s="1075"/>
      <c r="Q239" s="1075"/>
      <c r="R239" s="231"/>
    </row>
    <row r="240" spans="11:18" x14ac:dyDescent="0.3">
      <c r="K240" s="1075"/>
      <c r="M240" s="1075"/>
      <c r="O240" s="1075"/>
      <c r="Q240" s="1075"/>
      <c r="R240" s="231"/>
    </row>
    <row r="241" spans="11:18" x14ac:dyDescent="0.3">
      <c r="K241" s="1075"/>
      <c r="M241" s="1075"/>
      <c r="O241" s="1075"/>
      <c r="Q241" s="1075"/>
      <c r="R241" s="231"/>
    </row>
    <row r="242" spans="11:18" x14ac:dyDescent="0.3">
      <c r="K242" s="1075"/>
      <c r="M242" s="1075"/>
      <c r="O242" s="1075"/>
      <c r="Q242" s="1075"/>
      <c r="R242" s="231"/>
    </row>
    <row r="243" spans="11:18" x14ac:dyDescent="0.3">
      <c r="K243" s="1075"/>
      <c r="M243" s="1075"/>
      <c r="O243" s="1075"/>
      <c r="Q243" s="1075"/>
      <c r="R243" s="231"/>
    </row>
    <row r="244" spans="11:18" x14ac:dyDescent="0.3">
      <c r="K244" s="1075"/>
      <c r="M244" s="1075"/>
      <c r="O244" s="1075"/>
      <c r="Q244" s="1075"/>
      <c r="R244" s="231"/>
    </row>
    <row r="245" spans="11:18" x14ac:dyDescent="0.3">
      <c r="K245" s="1075"/>
      <c r="M245" s="1075"/>
      <c r="O245" s="1075"/>
      <c r="Q245" s="1075"/>
      <c r="R245" s="231"/>
    </row>
    <row r="246" spans="11:18" x14ac:dyDescent="0.3">
      <c r="K246" s="1075"/>
      <c r="M246" s="1075"/>
      <c r="O246" s="1075"/>
      <c r="Q246" s="1075"/>
      <c r="R246" s="231"/>
    </row>
    <row r="247" spans="11:18" x14ac:dyDescent="0.3">
      <c r="K247" s="1075"/>
      <c r="M247" s="1075"/>
      <c r="O247" s="1075"/>
      <c r="Q247" s="1075"/>
      <c r="R247" s="231"/>
    </row>
    <row r="248" spans="11:18" x14ac:dyDescent="0.3">
      <c r="K248" s="1075"/>
      <c r="M248" s="1075"/>
      <c r="O248" s="1075"/>
      <c r="Q248" s="1075"/>
      <c r="R248" s="231"/>
    </row>
    <row r="249" spans="11:18" x14ac:dyDescent="0.3">
      <c r="K249" s="1075"/>
      <c r="M249" s="1075"/>
      <c r="O249" s="1075"/>
      <c r="Q249" s="1075"/>
      <c r="R249" s="231"/>
    </row>
    <row r="250" spans="11:18" x14ac:dyDescent="0.3">
      <c r="K250" s="1075"/>
      <c r="M250" s="1075"/>
      <c r="O250" s="1075"/>
      <c r="Q250" s="1075"/>
      <c r="R250" s="231"/>
    </row>
    <row r="251" spans="11:18" x14ac:dyDescent="0.3">
      <c r="K251" s="1075"/>
      <c r="M251" s="1075"/>
      <c r="O251" s="1075"/>
      <c r="Q251" s="1075"/>
      <c r="R251" s="231"/>
    </row>
    <row r="252" spans="11:18" x14ac:dyDescent="0.3">
      <c r="K252" s="1075"/>
      <c r="M252" s="1075"/>
      <c r="O252" s="1075"/>
      <c r="Q252" s="1075"/>
      <c r="R252" s="231"/>
    </row>
    <row r="253" spans="11:18" x14ac:dyDescent="0.3">
      <c r="K253" s="1075"/>
      <c r="M253" s="1075"/>
      <c r="O253" s="1075"/>
      <c r="Q253" s="1075"/>
      <c r="R253" s="231"/>
    </row>
    <row r="254" spans="11:18" x14ac:dyDescent="0.3">
      <c r="K254" s="1075"/>
      <c r="M254" s="1075"/>
      <c r="O254" s="1075"/>
      <c r="Q254" s="1075"/>
      <c r="R254" s="231"/>
    </row>
    <row r="255" spans="11:18" x14ac:dyDescent="0.3">
      <c r="K255" s="1075"/>
      <c r="M255" s="1075"/>
      <c r="O255" s="1075"/>
      <c r="Q255" s="1075"/>
      <c r="R255" s="231"/>
    </row>
    <row r="256" spans="11:18" x14ac:dyDescent="0.3">
      <c r="K256" s="1075"/>
      <c r="M256" s="1075"/>
      <c r="O256" s="1075"/>
      <c r="Q256" s="1075"/>
      <c r="R256" s="231"/>
    </row>
    <row r="257" spans="11:18" x14ac:dyDescent="0.3">
      <c r="K257" s="1075"/>
      <c r="M257" s="1075"/>
      <c r="O257" s="1075"/>
      <c r="Q257" s="1075"/>
      <c r="R257" s="231"/>
    </row>
    <row r="258" spans="11:18" x14ac:dyDescent="0.3">
      <c r="K258" s="1075"/>
      <c r="M258" s="1075"/>
      <c r="O258" s="1075"/>
      <c r="Q258" s="1075"/>
      <c r="R258" s="231"/>
    </row>
    <row r="259" spans="11:18" x14ac:dyDescent="0.3">
      <c r="K259" s="1075"/>
      <c r="M259" s="1075"/>
      <c r="O259" s="1075"/>
      <c r="Q259" s="1075"/>
      <c r="R259" s="231"/>
    </row>
    <row r="260" spans="11:18" x14ac:dyDescent="0.3">
      <c r="K260" s="1075"/>
      <c r="M260" s="1075"/>
      <c r="O260" s="1075"/>
      <c r="Q260" s="1075"/>
      <c r="R260" s="231"/>
    </row>
    <row r="261" spans="11:18" x14ac:dyDescent="0.3">
      <c r="K261" s="1075"/>
      <c r="M261" s="1075"/>
      <c r="O261" s="1075"/>
      <c r="Q261" s="1075"/>
      <c r="R261" s="231"/>
    </row>
    <row r="262" spans="11:18" x14ac:dyDescent="0.3">
      <c r="K262" s="1075"/>
      <c r="M262" s="1075"/>
      <c r="O262" s="1075"/>
      <c r="Q262" s="1075"/>
      <c r="R262" s="231"/>
    </row>
    <row r="263" spans="11:18" x14ac:dyDescent="0.3">
      <c r="K263" s="1075"/>
      <c r="M263" s="1075"/>
      <c r="O263" s="1075"/>
      <c r="Q263" s="1075"/>
      <c r="R263" s="231"/>
    </row>
    <row r="264" spans="11:18" x14ac:dyDescent="0.3">
      <c r="K264" s="1075"/>
      <c r="M264" s="1075"/>
      <c r="O264" s="1075"/>
      <c r="Q264" s="1075"/>
      <c r="R264" s="231"/>
    </row>
    <row r="265" spans="11:18" x14ac:dyDescent="0.3">
      <c r="K265" s="1075"/>
      <c r="M265" s="1075"/>
      <c r="O265" s="1075"/>
      <c r="Q265" s="1075"/>
      <c r="R265" s="231"/>
    </row>
    <row r="266" spans="11:18" x14ac:dyDescent="0.3">
      <c r="K266" s="1075"/>
      <c r="M266" s="1075"/>
      <c r="O266" s="1075"/>
      <c r="Q266" s="1075"/>
      <c r="R266" s="231"/>
    </row>
    <row r="267" spans="11:18" x14ac:dyDescent="0.3">
      <c r="K267" s="1075"/>
      <c r="M267" s="1075"/>
      <c r="O267" s="1075"/>
      <c r="Q267" s="1075"/>
      <c r="R267" s="231"/>
    </row>
    <row r="268" spans="11:18" x14ac:dyDescent="0.3">
      <c r="K268" s="1075"/>
      <c r="M268" s="1075"/>
      <c r="O268" s="1075"/>
      <c r="Q268" s="1075"/>
      <c r="R268" s="231"/>
    </row>
    <row r="269" spans="11:18" x14ac:dyDescent="0.3">
      <c r="K269" s="1075"/>
      <c r="M269" s="1075"/>
      <c r="O269" s="1075"/>
      <c r="Q269" s="1075"/>
      <c r="R269" s="231"/>
    </row>
    <row r="270" spans="11:18" x14ac:dyDescent="0.3">
      <c r="K270" s="1075"/>
      <c r="M270" s="1075"/>
      <c r="O270" s="1075"/>
      <c r="Q270" s="1075"/>
      <c r="R270" s="231"/>
    </row>
    <row r="271" spans="11:18" x14ac:dyDescent="0.3">
      <c r="K271" s="1075"/>
      <c r="M271" s="1075"/>
      <c r="O271" s="1075"/>
      <c r="Q271" s="1075"/>
      <c r="R271" s="231"/>
    </row>
    <row r="272" spans="11:18" x14ac:dyDescent="0.3">
      <c r="K272" s="1075"/>
      <c r="M272" s="1075"/>
      <c r="O272" s="1075"/>
      <c r="Q272" s="1075"/>
      <c r="R272" s="231"/>
    </row>
    <row r="273" spans="11:18" x14ac:dyDescent="0.3">
      <c r="K273" s="1075"/>
      <c r="M273" s="1075"/>
      <c r="O273" s="1075"/>
      <c r="Q273" s="1075"/>
      <c r="R273" s="231"/>
    </row>
    <row r="274" spans="11:18" x14ac:dyDescent="0.3">
      <c r="K274" s="1075"/>
      <c r="M274" s="1075"/>
      <c r="O274" s="1075"/>
      <c r="Q274" s="1075"/>
      <c r="R274" s="231"/>
    </row>
    <row r="275" spans="11:18" x14ac:dyDescent="0.3">
      <c r="K275" s="1075"/>
      <c r="M275" s="1075"/>
      <c r="O275" s="1075"/>
      <c r="Q275" s="1075"/>
      <c r="R275" s="231"/>
    </row>
    <row r="276" spans="11:18" x14ac:dyDescent="0.3">
      <c r="K276" s="1075"/>
      <c r="M276" s="1075"/>
      <c r="O276" s="1075"/>
      <c r="Q276" s="1075"/>
      <c r="R276" s="231"/>
    </row>
    <row r="277" spans="11:18" x14ac:dyDescent="0.3">
      <c r="K277" s="1075"/>
      <c r="M277" s="1075"/>
      <c r="O277" s="1075"/>
      <c r="Q277" s="1075"/>
      <c r="R277" s="231"/>
    </row>
    <row r="278" spans="11:18" x14ac:dyDescent="0.3">
      <c r="K278" s="1075"/>
      <c r="M278" s="1075"/>
      <c r="O278" s="1075"/>
      <c r="Q278" s="1075"/>
      <c r="R278" s="231"/>
    </row>
    <row r="279" spans="11:18" x14ac:dyDescent="0.3">
      <c r="K279" s="1075"/>
      <c r="M279" s="1075"/>
      <c r="O279" s="1075"/>
      <c r="Q279" s="1075"/>
      <c r="R279" s="231"/>
    </row>
    <row r="280" spans="11:18" x14ac:dyDescent="0.3">
      <c r="K280" s="1075"/>
      <c r="M280" s="1075"/>
      <c r="O280" s="1075"/>
      <c r="Q280" s="1075"/>
      <c r="R280" s="231"/>
    </row>
    <row r="281" spans="11:18" x14ac:dyDescent="0.3">
      <c r="K281" s="1075"/>
      <c r="M281" s="1075"/>
      <c r="O281" s="1075"/>
      <c r="Q281" s="1075"/>
      <c r="R281" s="231"/>
    </row>
    <row r="282" spans="11:18" x14ac:dyDescent="0.3">
      <c r="K282" s="1075"/>
      <c r="M282" s="1075"/>
      <c r="O282" s="1075"/>
      <c r="Q282" s="1075"/>
      <c r="R282" s="231"/>
    </row>
    <row r="283" spans="11:18" x14ac:dyDescent="0.3">
      <c r="K283" s="1075"/>
      <c r="M283" s="1075"/>
      <c r="O283" s="1075"/>
      <c r="Q283" s="1075"/>
      <c r="R283" s="231"/>
    </row>
    <row r="284" spans="11:18" x14ac:dyDescent="0.3">
      <c r="K284" s="1075"/>
      <c r="M284" s="1075"/>
      <c r="O284" s="1075"/>
      <c r="Q284" s="1075"/>
      <c r="R284" s="231"/>
    </row>
    <row r="285" spans="11:18" x14ac:dyDescent="0.3">
      <c r="K285" s="1075"/>
      <c r="M285" s="1075"/>
      <c r="O285" s="1075"/>
      <c r="Q285" s="1075"/>
      <c r="R285" s="231"/>
    </row>
    <row r="286" spans="11:18" x14ac:dyDescent="0.3">
      <c r="K286" s="1075"/>
      <c r="M286" s="1075"/>
      <c r="O286" s="1075"/>
      <c r="Q286" s="1075"/>
      <c r="R286" s="231"/>
    </row>
    <row r="287" spans="11:18" x14ac:dyDescent="0.3">
      <c r="K287" s="1075"/>
      <c r="M287" s="1075"/>
      <c r="O287" s="1075"/>
      <c r="Q287" s="1075"/>
      <c r="R287" s="231"/>
    </row>
    <row r="288" spans="11:18" x14ac:dyDescent="0.3">
      <c r="K288" s="1075"/>
      <c r="M288" s="1075"/>
      <c r="O288" s="1075"/>
      <c r="Q288" s="1075"/>
      <c r="R288" s="231"/>
    </row>
    <row r="289" spans="11:18" x14ac:dyDescent="0.3">
      <c r="K289" s="1075"/>
      <c r="M289" s="1075"/>
      <c r="O289" s="1075"/>
      <c r="Q289" s="1075"/>
      <c r="R289" s="231"/>
    </row>
    <row r="290" spans="11:18" x14ac:dyDescent="0.3">
      <c r="K290" s="1075"/>
      <c r="M290" s="1075"/>
      <c r="O290" s="1075"/>
      <c r="Q290" s="1075"/>
      <c r="R290" s="231"/>
    </row>
    <row r="291" spans="11:18" x14ac:dyDescent="0.3">
      <c r="K291" s="1075"/>
      <c r="M291" s="1075"/>
      <c r="O291" s="1075"/>
      <c r="Q291" s="1075"/>
      <c r="R291" s="231"/>
    </row>
    <row r="292" spans="11:18" x14ac:dyDescent="0.3">
      <c r="K292" s="1075"/>
      <c r="M292" s="1075"/>
      <c r="O292" s="1075"/>
      <c r="Q292" s="1075"/>
      <c r="R292" s="231"/>
    </row>
    <row r="293" spans="11:18" x14ac:dyDescent="0.3">
      <c r="K293" s="1075"/>
      <c r="M293" s="1075"/>
      <c r="O293" s="1075"/>
      <c r="Q293" s="1075"/>
      <c r="R293" s="231"/>
    </row>
    <row r="294" spans="11:18" x14ac:dyDescent="0.3">
      <c r="K294" s="1075"/>
      <c r="M294" s="1075"/>
      <c r="O294" s="1075"/>
      <c r="Q294" s="1075"/>
      <c r="R294" s="231"/>
    </row>
    <row r="295" spans="11:18" x14ac:dyDescent="0.3">
      <c r="K295" s="1075"/>
      <c r="M295" s="1075"/>
      <c r="O295" s="1075"/>
      <c r="Q295" s="1075"/>
      <c r="R295" s="231"/>
    </row>
    <row r="296" spans="11:18" x14ac:dyDescent="0.3">
      <c r="K296" s="1075"/>
      <c r="M296" s="1075"/>
      <c r="O296" s="1075"/>
      <c r="Q296" s="1075"/>
      <c r="R296" s="231"/>
    </row>
    <row r="297" spans="11:18" x14ac:dyDescent="0.3">
      <c r="K297" s="1075"/>
      <c r="M297" s="1075"/>
      <c r="O297" s="1075"/>
      <c r="Q297" s="1075"/>
      <c r="R297" s="231"/>
    </row>
    <row r="298" spans="11:18" x14ac:dyDescent="0.3">
      <c r="K298" s="1075"/>
      <c r="M298" s="1075"/>
      <c r="O298" s="1075"/>
      <c r="Q298" s="1075"/>
      <c r="R298" s="231"/>
    </row>
    <row r="299" spans="11:18" x14ac:dyDescent="0.3">
      <c r="K299" s="1075"/>
      <c r="M299" s="1075"/>
      <c r="O299" s="1075"/>
      <c r="Q299" s="1075"/>
      <c r="R299" s="231"/>
    </row>
    <row r="300" spans="11:18" x14ac:dyDescent="0.3">
      <c r="K300" s="1075"/>
      <c r="M300" s="1075"/>
      <c r="O300" s="1075"/>
      <c r="Q300" s="1075"/>
      <c r="R300" s="231"/>
    </row>
    <row r="301" spans="11:18" x14ac:dyDescent="0.3">
      <c r="K301" s="1075"/>
      <c r="M301" s="1075"/>
      <c r="O301" s="1075"/>
      <c r="Q301" s="1075"/>
      <c r="R301" s="231"/>
    </row>
    <row r="302" spans="11:18" x14ac:dyDescent="0.3">
      <c r="K302" s="1075"/>
      <c r="M302" s="1075"/>
      <c r="O302" s="1075"/>
      <c r="Q302" s="1075"/>
      <c r="R302" s="231"/>
    </row>
    <row r="303" spans="11:18" x14ac:dyDescent="0.3">
      <c r="K303" s="1075"/>
      <c r="M303" s="1075"/>
      <c r="O303" s="1075"/>
      <c r="Q303" s="1075"/>
      <c r="R303" s="231"/>
    </row>
    <row r="304" spans="11:18" x14ac:dyDescent="0.3">
      <c r="K304" s="1075"/>
      <c r="M304" s="1075"/>
      <c r="O304" s="1075"/>
      <c r="Q304" s="1075"/>
      <c r="R304" s="231"/>
    </row>
    <row r="305" spans="11:18" x14ac:dyDescent="0.3">
      <c r="K305" s="1075"/>
      <c r="M305" s="1075"/>
      <c r="O305" s="1075"/>
      <c r="Q305" s="1075"/>
      <c r="R305" s="231"/>
    </row>
    <row r="306" spans="11:18" x14ac:dyDescent="0.3">
      <c r="K306" s="1075"/>
      <c r="M306" s="1075"/>
      <c r="O306" s="1075"/>
      <c r="Q306" s="1075"/>
      <c r="R306" s="231"/>
    </row>
    <row r="307" spans="11:18" x14ac:dyDescent="0.3">
      <c r="K307" s="1075"/>
      <c r="M307" s="1075"/>
      <c r="O307" s="1075"/>
      <c r="Q307" s="1075"/>
      <c r="R307" s="231"/>
    </row>
    <row r="308" spans="11:18" x14ac:dyDescent="0.3">
      <c r="K308" s="1075"/>
      <c r="M308" s="1075"/>
      <c r="O308" s="1075"/>
      <c r="Q308" s="1075"/>
      <c r="R308" s="231"/>
    </row>
    <row r="309" spans="11:18" x14ac:dyDescent="0.3">
      <c r="K309" s="1075"/>
      <c r="M309" s="1075"/>
      <c r="O309" s="1075"/>
      <c r="Q309" s="1075"/>
      <c r="R309" s="231"/>
    </row>
    <row r="310" spans="11:18" x14ac:dyDescent="0.3">
      <c r="K310" s="1075"/>
      <c r="M310" s="1075"/>
      <c r="O310" s="1075"/>
      <c r="Q310" s="1075"/>
      <c r="R310" s="231"/>
    </row>
    <row r="311" spans="11:18" x14ac:dyDescent="0.3">
      <c r="K311" s="1075"/>
      <c r="M311" s="1075"/>
      <c r="O311" s="1075"/>
      <c r="Q311" s="1075"/>
      <c r="R311" s="231"/>
    </row>
    <row r="312" spans="11:18" x14ac:dyDescent="0.3">
      <c r="K312" s="1075"/>
      <c r="M312" s="1075"/>
      <c r="O312" s="1075"/>
      <c r="Q312" s="1075"/>
      <c r="R312" s="231"/>
    </row>
    <row r="313" spans="11:18" x14ac:dyDescent="0.3">
      <c r="K313" s="1075"/>
      <c r="M313" s="1075"/>
      <c r="O313" s="1075"/>
      <c r="Q313" s="1075"/>
      <c r="R313" s="231"/>
    </row>
    <row r="314" spans="11:18" x14ac:dyDescent="0.3">
      <c r="K314" s="1075"/>
      <c r="M314" s="1075"/>
      <c r="O314" s="1075"/>
      <c r="Q314" s="1075"/>
      <c r="R314" s="231"/>
    </row>
    <row r="315" spans="11:18" x14ac:dyDescent="0.3">
      <c r="K315" s="1075"/>
      <c r="M315" s="1075"/>
      <c r="O315" s="1075"/>
      <c r="Q315" s="1075"/>
      <c r="R315" s="231"/>
    </row>
    <row r="316" spans="11:18" x14ac:dyDescent="0.3">
      <c r="K316" s="1075"/>
      <c r="M316" s="1075"/>
      <c r="O316" s="1075"/>
      <c r="Q316" s="1075"/>
      <c r="R316" s="231"/>
    </row>
    <row r="317" spans="11:18" x14ac:dyDescent="0.3">
      <c r="K317" s="1075"/>
      <c r="M317" s="1075"/>
      <c r="O317" s="1075"/>
      <c r="Q317" s="1075"/>
      <c r="R317" s="231"/>
    </row>
    <row r="318" spans="11:18" x14ac:dyDescent="0.3">
      <c r="K318" s="1075"/>
      <c r="M318" s="1075"/>
      <c r="O318" s="1075"/>
      <c r="Q318" s="1075"/>
      <c r="R318" s="231"/>
    </row>
    <row r="319" spans="11:18" x14ac:dyDescent="0.3">
      <c r="K319" s="1075"/>
      <c r="M319" s="1075"/>
      <c r="O319" s="1075"/>
      <c r="Q319" s="1075"/>
      <c r="R319" s="231"/>
    </row>
    <row r="320" spans="11:18" x14ac:dyDescent="0.3">
      <c r="K320" s="1075"/>
      <c r="M320" s="1075"/>
      <c r="O320" s="1075"/>
      <c r="Q320" s="1075"/>
      <c r="R320" s="231"/>
    </row>
    <row r="321" spans="11:18" x14ac:dyDescent="0.3">
      <c r="K321" s="1075"/>
      <c r="M321" s="1075"/>
      <c r="O321" s="1075"/>
      <c r="Q321" s="1075"/>
      <c r="R321" s="231"/>
    </row>
    <row r="322" spans="11:18" x14ac:dyDescent="0.3">
      <c r="K322" s="1075"/>
      <c r="M322" s="1075"/>
      <c r="O322" s="1075"/>
      <c r="Q322" s="1075"/>
      <c r="R322" s="231"/>
    </row>
    <row r="323" spans="11:18" x14ac:dyDescent="0.3">
      <c r="K323" s="1075"/>
      <c r="M323" s="1075"/>
      <c r="O323" s="1075"/>
      <c r="Q323" s="1075"/>
      <c r="R323" s="231"/>
    </row>
    <row r="324" spans="11:18" x14ac:dyDescent="0.3">
      <c r="K324" s="1075"/>
      <c r="M324" s="1075"/>
      <c r="O324" s="1075"/>
      <c r="Q324" s="1075"/>
      <c r="R324" s="231"/>
    </row>
    <row r="325" spans="11:18" x14ac:dyDescent="0.3">
      <c r="K325" s="1075"/>
      <c r="M325" s="1075"/>
      <c r="O325" s="1075"/>
      <c r="Q325" s="1075"/>
      <c r="R325" s="231"/>
    </row>
    <row r="326" spans="11:18" x14ac:dyDescent="0.3">
      <c r="K326" s="1075"/>
      <c r="M326" s="1075"/>
      <c r="O326" s="1075"/>
      <c r="Q326" s="1075"/>
      <c r="R326" s="231"/>
    </row>
    <row r="327" spans="11:18" x14ac:dyDescent="0.3">
      <c r="K327" s="1075"/>
      <c r="M327" s="1075"/>
      <c r="O327" s="1075"/>
      <c r="Q327" s="1075"/>
      <c r="R327" s="231"/>
    </row>
    <row r="328" spans="11:18" x14ac:dyDescent="0.3">
      <c r="K328" s="1075"/>
      <c r="M328" s="1075"/>
      <c r="O328" s="1075"/>
      <c r="Q328" s="1075"/>
      <c r="R328" s="231"/>
    </row>
    <row r="329" spans="11:18" x14ac:dyDescent="0.3">
      <c r="K329" s="1075"/>
      <c r="M329" s="1075"/>
      <c r="O329" s="1075"/>
      <c r="Q329" s="1075"/>
      <c r="R329" s="231"/>
    </row>
    <row r="330" spans="11:18" x14ac:dyDescent="0.3">
      <c r="K330" s="1075"/>
      <c r="M330" s="1075"/>
      <c r="O330" s="1075"/>
      <c r="Q330" s="1075"/>
      <c r="R330" s="231"/>
    </row>
    <row r="331" spans="11:18" x14ac:dyDescent="0.3">
      <c r="K331" s="1075"/>
      <c r="M331" s="1075"/>
      <c r="O331" s="1075"/>
      <c r="Q331" s="1075"/>
      <c r="R331" s="231"/>
    </row>
    <row r="332" spans="11:18" x14ac:dyDescent="0.3">
      <c r="K332" s="1075"/>
      <c r="M332" s="1075"/>
      <c r="O332" s="1075"/>
      <c r="Q332" s="1075"/>
      <c r="R332" s="231"/>
    </row>
    <row r="333" spans="11:18" x14ac:dyDescent="0.3">
      <c r="K333" s="1075"/>
      <c r="M333" s="1075"/>
      <c r="O333" s="1075"/>
      <c r="Q333" s="1075"/>
      <c r="R333" s="231"/>
    </row>
    <row r="334" spans="11:18" x14ac:dyDescent="0.3">
      <c r="K334" s="1075"/>
      <c r="M334" s="1075"/>
      <c r="O334" s="1075"/>
      <c r="Q334" s="1075"/>
      <c r="R334" s="231"/>
    </row>
    <row r="335" spans="11:18" x14ac:dyDescent="0.3">
      <c r="K335" s="1075"/>
      <c r="M335" s="1075"/>
      <c r="O335" s="1075"/>
      <c r="Q335" s="1075"/>
      <c r="R335" s="231"/>
    </row>
    <row r="336" spans="11:18" x14ac:dyDescent="0.3">
      <c r="K336" s="1075"/>
      <c r="M336" s="1075"/>
      <c r="O336" s="1075"/>
      <c r="Q336" s="1075"/>
      <c r="R336" s="231"/>
    </row>
    <row r="337" spans="11:18" x14ac:dyDescent="0.3">
      <c r="K337" s="1075"/>
      <c r="M337" s="1075"/>
      <c r="O337" s="1075"/>
      <c r="Q337" s="1075"/>
      <c r="R337" s="231"/>
    </row>
    <row r="338" spans="11:18" x14ac:dyDescent="0.3">
      <c r="K338" s="1075"/>
      <c r="M338" s="1075"/>
      <c r="O338" s="1075"/>
      <c r="Q338" s="1075"/>
      <c r="R338" s="231"/>
    </row>
    <row r="339" spans="11:18" x14ac:dyDescent="0.3">
      <c r="K339" s="1075"/>
      <c r="M339" s="1075"/>
      <c r="O339" s="1075"/>
      <c r="Q339" s="1075"/>
      <c r="R339" s="231"/>
    </row>
    <row r="340" spans="11:18" x14ac:dyDescent="0.3">
      <c r="K340" s="1075"/>
      <c r="M340" s="1075"/>
      <c r="O340" s="1075"/>
      <c r="Q340" s="1075"/>
      <c r="R340" s="231"/>
    </row>
    <row r="341" spans="11:18" x14ac:dyDescent="0.3">
      <c r="K341" s="1075"/>
      <c r="M341" s="1075"/>
      <c r="O341" s="1075"/>
      <c r="Q341" s="1075"/>
      <c r="R341" s="231"/>
    </row>
    <row r="342" spans="11:18" x14ac:dyDescent="0.3">
      <c r="K342" s="1075"/>
      <c r="M342" s="1075"/>
      <c r="O342" s="1075"/>
      <c r="Q342" s="1075"/>
      <c r="R342" s="231"/>
    </row>
    <row r="343" spans="11:18" x14ac:dyDescent="0.3">
      <c r="K343" s="1075"/>
      <c r="M343" s="1075"/>
      <c r="O343" s="1075"/>
      <c r="Q343" s="1075"/>
      <c r="R343" s="231"/>
    </row>
  </sheetData>
  <sheetProtection algorithmName="SHA-512" hashValue="LCl2Z9vzPdtnWhJkA7HnoAdnC2b2BlMC5FKNs2VzuQisiYLHh5JTUgOT6bHxRvCOQrkZ8EnWsuysCeYRfqs1UQ==" saltValue="Fr5kLeZFit8mkHLjh42rZQ==" spinCount="100000" sheet="1" objects="1" scenarios="1"/>
  <sortState xmlns:xlrd2="http://schemas.microsoft.com/office/spreadsheetml/2017/richdata2" ref="J69:L75">
    <sortCondition ref="J69:J75"/>
  </sortState>
  <dataConsolidate link="1"/>
  <mergeCells count="39">
    <mergeCell ref="L41:N41"/>
    <mergeCell ref="K33:M33"/>
    <mergeCell ref="A64:H64"/>
    <mergeCell ref="A65:H65"/>
    <mergeCell ref="G12:H12"/>
    <mergeCell ref="G30:H30"/>
    <mergeCell ref="J39:K44"/>
    <mergeCell ref="G45:H45"/>
    <mergeCell ref="A25:B25"/>
    <mergeCell ref="C25:H25"/>
    <mergeCell ref="A26:H26"/>
    <mergeCell ref="A63:B63"/>
    <mergeCell ref="C63:H63"/>
    <mergeCell ref="N88:T88"/>
    <mergeCell ref="J90:J91"/>
    <mergeCell ref="K90:K91"/>
    <mergeCell ref="L90:L91"/>
    <mergeCell ref="J94:J95"/>
    <mergeCell ref="K94:K95"/>
    <mergeCell ref="L94:L95"/>
    <mergeCell ref="J92:J93"/>
    <mergeCell ref="K92:K93"/>
    <mergeCell ref="L92:L93"/>
    <mergeCell ref="C10:F10"/>
    <mergeCell ref="J104:J105"/>
    <mergeCell ref="K104:K105"/>
    <mergeCell ref="L104:L105"/>
    <mergeCell ref="J100:J101"/>
    <mergeCell ref="K100:K101"/>
    <mergeCell ref="L100:L101"/>
    <mergeCell ref="J102:J103"/>
    <mergeCell ref="K102:K103"/>
    <mergeCell ref="L102:L103"/>
    <mergeCell ref="J96:J97"/>
    <mergeCell ref="K96:K97"/>
    <mergeCell ref="L96:L97"/>
    <mergeCell ref="J98:J99"/>
    <mergeCell ref="K98:K99"/>
    <mergeCell ref="L98:L99"/>
  </mergeCells>
  <phoneticPr fontId="63" type="noConversion"/>
  <conditionalFormatting sqref="B21">
    <cfRule type="cellIs" dxfId="87" priority="27" stopIfTrue="1" operator="notBetween">
      <formula>B22</formula>
      <formula>B23</formula>
    </cfRule>
  </conditionalFormatting>
  <conditionalFormatting sqref="C55">
    <cfRule type="expression" dxfId="86" priority="1">
      <formula>$H$55="X"</formula>
    </cfRule>
  </conditionalFormatting>
  <conditionalFormatting sqref="C21">
    <cfRule type="cellIs" dxfId="85" priority="14" operator="notBetween">
      <formula>$C$22</formula>
      <formula>$C$23</formula>
    </cfRule>
    <cfRule type="cellIs" priority="15" operator="notBetween">
      <formula>$C$22</formula>
      <formula>$C$23</formula>
    </cfRule>
  </conditionalFormatting>
  <conditionalFormatting sqref="D21">
    <cfRule type="cellIs" dxfId="84" priority="12" operator="notBetween">
      <formula>$C$22</formula>
      <formula>$C$23</formula>
    </cfRule>
  </conditionalFormatting>
  <conditionalFormatting sqref="E21">
    <cfRule type="cellIs" dxfId="83" priority="10" operator="notBetween">
      <formula>$C$22</formula>
      <formula>$C$23</formula>
    </cfRule>
    <cfRule type="cellIs" priority="11" operator="notBetween">
      <formula>$C$22</formula>
      <formula>$C$23</formula>
    </cfRule>
  </conditionalFormatting>
  <conditionalFormatting sqref="F21">
    <cfRule type="cellIs" dxfId="82" priority="8" operator="notBetween">
      <formula>$C$22</formula>
      <formula>$C$23</formula>
    </cfRule>
    <cfRule type="cellIs" priority="9" operator="notBetween">
      <formula>$C$22</formula>
      <formula>$C$23</formula>
    </cfRule>
  </conditionalFormatting>
  <conditionalFormatting sqref="B55">
    <cfRule type="cellIs" dxfId="81" priority="5" operator="greaterThan">
      <formula>$J$55</formula>
    </cfRule>
  </conditionalFormatting>
  <conditionalFormatting sqref="B59">
    <cfRule type="cellIs" dxfId="80" priority="4" operator="greaterThan">
      <formula>$J$59</formula>
    </cfRule>
  </conditionalFormatting>
  <conditionalFormatting sqref="D59">
    <cfRule type="expression" dxfId="79" priority="3">
      <formula>$H$59="X"</formula>
    </cfRule>
  </conditionalFormatting>
  <conditionalFormatting sqref="B51">
    <cfRule type="cellIs" dxfId="78" priority="2" operator="greaterThan">
      <formula>$J$51</formula>
    </cfRule>
  </conditionalFormatting>
  <dataValidations count="1">
    <dataValidation type="list" allowBlank="1" showInputMessage="1" showErrorMessage="1" sqref="B12:F12 B30:F30" xr:uid="{00000000-0002-0000-0E00-000000000000}">
      <formula1>$K$2:$K$13</formula1>
    </dataValidation>
  </dataValidations>
  <printOptions horizontalCentered="1"/>
  <pageMargins left="0.70866141732283472" right="0.70866141732283472" top="0.74803149606299213" bottom="0.74803149606299213" header="0.31496062992125984" footer="0.31496062992125984"/>
  <pageSetup scale="73" orientation="portrait" r:id="rId1"/>
  <headerFooter>
    <oddFooter>&amp;CPage &amp;P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3">
    <tabColor theme="3" tint="-0.249977111117893"/>
    <pageSetUpPr fitToPage="1"/>
  </sheetPr>
  <dimension ref="A1:J70"/>
  <sheetViews>
    <sheetView topLeftCell="A21" zoomScaleNormal="100" workbookViewId="0">
      <selection activeCell="E52" sqref="E52"/>
    </sheetView>
  </sheetViews>
  <sheetFormatPr baseColWidth="10" defaultColWidth="10.6640625" defaultRowHeight="14.4" x14ac:dyDescent="0.3"/>
  <cols>
    <col min="1" max="1" width="41.44140625" style="50" customWidth="1"/>
    <col min="2" max="2" width="13.44140625" style="50" customWidth="1"/>
    <col min="3" max="4" width="10.6640625" style="50"/>
    <col min="5" max="5" width="12.6640625" style="50" customWidth="1"/>
    <col min="6" max="8" width="10.6640625" style="50"/>
    <col min="9" max="9" width="6.33203125" style="50" customWidth="1"/>
    <col min="10" max="16384" width="10.6640625" style="50"/>
  </cols>
  <sheetData>
    <row r="1" spans="1:10" x14ac:dyDescent="0.3">
      <c r="A1" s="53" t="s">
        <v>753</v>
      </c>
      <c r="B1" s="54" t="str">
        <f>+Info!C10</f>
        <v>Clinique Ste-Mammo</v>
      </c>
      <c r="C1" s="55"/>
      <c r="D1" s="55"/>
      <c r="E1" s="56" t="s">
        <v>755</v>
      </c>
      <c r="F1" s="55"/>
      <c r="G1" s="55"/>
      <c r="H1" s="203" t="str">
        <f>+Info!C37</f>
        <v>20-01-2020</v>
      </c>
      <c r="I1" s="204"/>
    </row>
    <row r="2" spans="1:10" x14ac:dyDescent="0.3">
      <c r="A2" s="58" t="s">
        <v>754</v>
      </c>
      <c r="B2" s="59" t="str">
        <f>+Info!C21</f>
        <v>Salle 2, Hirad IV</v>
      </c>
      <c r="C2" s="51"/>
      <c r="D2" s="51"/>
      <c r="E2" s="60" t="s">
        <v>756</v>
      </c>
      <c r="F2" s="51"/>
      <c r="G2" s="51"/>
      <c r="H2" s="61" t="str">
        <f>+Info!C35</f>
        <v>Alexandre Toussaint</v>
      </c>
      <c r="I2" s="204"/>
    </row>
    <row r="3" spans="1:10" x14ac:dyDescent="0.3">
      <c r="A3" s="62"/>
      <c r="B3" s="62"/>
      <c r="C3" s="62"/>
      <c r="D3" s="72"/>
      <c r="E3" s="72"/>
      <c r="F3" s="62"/>
      <c r="G3" s="62"/>
      <c r="H3" s="62"/>
      <c r="I3" s="204"/>
    </row>
    <row r="4" spans="1:10" x14ac:dyDescent="0.3">
      <c r="A4" s="205" t="s">
        <v>821</v>
      </c>
      <c r="B4" s="72"/>
      <c r="C4" s="72"/>
      <c r="D4" s="72"/>
      <c r="E4" s="72"/>
      <c r="F4" s="72"/>
      <c r="G4" s="72"/>
      <c r="H4" s="72"/>
      <c r="I4" s="78"/>
      <c r="J4" s="75"/>
    </row>
    <row r="5" spans="1:10" x14ac:dyDescent="0.3">
      <c r="A5" s="72"/>
      <c r="B5" s="72"/>
      <c r="C5" s="72"/>
      <c r="D5" s="72"/>
      <c r="E5" s="72"/>
      <c r="F5" s="72"/>
      <c r="G5" s="72"/>
      <c r="H5" s="72"/>
      <c r="I5" s="78"/>
      <c r="J5" s="75"/>
    </row>
    <row r="6" spans="1:10" x14ac:dyDescent="0.3">
      <c r="A6" s="708" t="s">
        <v>252</v>
      </c>
      <c r="B6" s="216"/>
      <c r="C6" s="72"/>
      <c r="D6" s="72"/>
      <c r="E6" s="72"/>
      <c r="F6" s="72"/>
      <c r="G6" s="72"/>
      <c r="H6" s="72"/>
      <c r="I6" s="78"/>
      <c r="J6" s="75"/>
    </row>
    <row r="7" spans="1:10" x14ac:dyDescent="0.3">
      <c r="A7" s="52"/>
      <c r="B7" s="52"/>
      <c r="C7" s="52"/>
      <c r="D7" s="52"/>
      <c r="E7" s="52"/>
      <c r="F7" s="52"/>
      <c r="G7" s="52"/>
      <c r="H7" s="52"/>
      <c r="I7" s="78"/>
      <c r="J7" s="75"/>
    </row>
    <row r="8" spans="1:10" ht="14.1" customHeight="1" x14ac:dyDescent="0.3">
      <c r="B8" s="709" t="s">
        <v>253</v>
      </c>
      <c r="C8" s="710" t="s">
        <v>59</v>
      </c>
      <c r="D8" s="1746" t="s">
        <v>15</v>
      </c>
      <c r="E8" s="1747"/>
      <c r="F8" s="711" t="s">
        <v>254</v>
      </c>
      <c r="G8" s="1748" t="s">
        <v>15</v>
      </c>
      <c r="H8" s="1747"/>
      <c r="I8" s="712"/>
      <c r="J8" s="75"/>
    </row>
    <row r="9" spans="1:10" ht="14.1" customHeight="1" x14ac:dyDescent="0.3">
      <c r="A9" s="758" t="s">
        <v>534</v>
      </c>
      <c r="B9" s="554">
        <v>620</v>
      </c>
      <c r="C9" s="714" t="s">
        <v>255</v>
      </c>
      <c r="D9" s="715" t="s">
        <v>109</v>
      </c>
      <c r="E9" s="552" t="s">
        <v>192</v>
      </c>
      <c r="F9" s="716" t="s">
        <v>255</v>
      </c>
      <c r="G9" s="715" t="s">
        <v>109</v>
      </c>
      <c r="H9" s="552" t="s">
        <v>192</v>
      </c>
      <c r="I9" s="712"/>
      <c r="J9" s="75"/>
    </row>
    <row r="10" spans="1:10" ht="14.1" customHeight="1" x14ac:dyDescent="0.3">
      <c r="A10" s="717" t="s">
        <v>256</v>
      </c>
      <c r="B10" s="718"/>
      <c r="C10" s="340">
        <v>5</v>
      </c>
      <c r="D10" s="719"/>
      <c r="E10" s="720"/>
      <c r="F10" s="340">
        <v>4</v>
      </c>
      <c r="G10" s="721"/>
      <c r="H10" s="722"/>
      <c r="I10" s="712"/>
      <c r="J10" s="75"/>
    </row>
    <row r="11" spans="1:10" ht="14.1" customHeight="1" x14ac:dyDescent="0.3">
      <c r="A11" s="717" t="s">
        <v>257</v>
      </c>
      <c r="B11" s="718"/>
      <c r="C11" s="338">
        <v>8</v>
      </c>
      <c r="D11" s="723"/>
      <c r="E11" s="720"/>
      <c r="F11" s="338">
        <v>8</v>
      </c>
      <c r="G11" s="724"/>
      <c r="H11" s="725"/>
      <c r="I11" s="712"/>
      <c r="J11" s="75"/>
    </row>
    <row r="12" spans="1:10" ht="14.1" customHeight="1" x14ac:dyDescent="0.3">
      <c r="A12" s="717" t="s">
        <v>258</v>
      </c>
      <c r="B12" s="718"/>
      <c r="C12" s="726">
        <f>ABS(C10)+ABS(C11)</f>
        <v>13</v>
      </c>
      <c r="D12" s="727"/>
      <c r="E12" s="728"/>
      <c r="F12" s="726">
        <f>ABS(F10)+ABS(F11)</f>
        <v>12</v>
      </c>
      <c r="G12" s="724"/>
      <c r="H12" s="725"/>
      <c r="I12" s="712"/>
      <c r="J12" s="75"/>
    </row>
    <row r="13" spans="1:10" ht="14.1" customHeight="1" x14ac:dyDescent="0.3">
      <c r="A13" s="717" t="s">
        <v>259</v>
      </c>
      <c r="B13" s="718"/>
      <c r="C13" s="729">
        <f>C12/$B$9</f>
        <v>2.0967741935483872E-2</v>
      </c>
      <c r="D13" s="730" t="str">
        <f>IF($C$13&lt;=0.02,"X","")</f>
        <v/>
      </c>
      <c r="E13" s="730" t="str">
        <f>IF($C$13&gt;0.02,"X","")</f>
        <v>X</v>
      </c>
      <c r="F13" s="731">
        <f>F12/$B$9</f>
        <v>1.935483870967742E-2</v>
      </c>
      <c r="G13" s="730" t="str">
        <f>IF($F$13&lt;=0.02,"X","")</f>
        <v>X</v>
      </c>
      <c r="H13" s="730" t="str">
        <f>IF($F$13&gt;0.02,"X","")</f>
        <v/>
      </c>
      <c r="I13" s="732"/>
      <c r="J13" s="75"/>
    </row>
    <row r="14" spans="1:10" ht="14.1" customHeight="1" x14ac:dyDescent="0.3">
      <c r="A14" s="717" t="s">
        <v>260</v>
      </c>
      <c r="B14" s="718"/>
      <c r="C14" s="338">
        <v>3</v>
      </c>
      <c r="D14" s="723"/>
      <c r="E14" s="720"/>
      <c r="F14" s="338">
        <v>7</v>
      </c>
      <c r="G14" s="724"/>
      <c r="H14" s="725"/>
      <c r="I14" s="712"/>
      <c r="J14" s="75"/>
    </row>
    <row r="15" spans="1:10" ht="14.1" customHeight="1" x14ac:dyDescent="0.3">
      <c r="A15" s="717" t="s">
        <v>261</v>
      </c>
      <c r="B15" s="718"/>
      <c r="C15" s="339">
        <v>6</v>
      </c>
      <c r="D15" s="723"/>
      <c r="E15" s="720"/>
      <c r="F15" s="339">
        <v>8</v>
      </c>
      <c r="G15" s="724"/>
      <c r="H15" s="725"/>
      <c r="I15" s="712"/>
      <c r="J15" s="75"/>
    </row>
    <row r="16" spans="1:10" ht="14.1" customHeight="1" x14ac:dyDescent="0.3">
      <c r="A16" s="717" t="s">
        <v>262</v>
      </c>
      <c r="B16" s="718"/>
      <c r="C16" s="726">
        <f>ABS(C14)+ABS(C15)</f>
        <v>9</v>
      </c>
      <c r="D16" s="727"/>
      <c r="E16" s="728"/>
      <c r="F16" s="726">
        <f>ABS(F14)+ABS(F15)</f>
        <v>15</v>
      </c>
      <c r="G16" s="724"/>
      <c r="H16" s="725"/>
      <c r="I16" s="712"/>
      <c r="J16" s="75"/>
    </row>
    <row r="17" spans="1:10" ht="14.1" customHeight="1" x14ac:dyDescent="0.3">
      <c r="A17" s="717" t="s">
        <v>263</v>
      </c>
      <c r="B17" s="718"/>
      <c r="C17" s="729">
        <f>C16/$B$9</f>
        <v>1.4516129032258065E-2</v>
      </c>
      <c r="D17" s="730" t="str">
        <f>IF($C$17&lt;=0.02,"X","")</f>
        <v>X</v>
      </c>
      <c r="E17" s="730" t="str">
        <f>IF($C$17&gt;0.02,"X","")</f>
        <v/>
      </c>
      <c r="F17" s="731">
        <f>F16/$B$9</f>
        <v>2.4193548387096774E-2</v>
      </c>
      <c r="G17" s="730" t="str">
        <f>IF($F$17&lt;=0.02,"X","")</f>
        <v/>
      </c>
      <c r="H17" s="730" t="str">
        <f>IF($F$17&gt;0.02,"X","")</f>
        <v>X</v>
      </c>
      <c r="I17" s="732"/>
      <c r="J17" s="75"/>
    </row>
    <row r="18" spans="1:10" s="85" customFormat="1" ht="10.199999999999999" x14ac:dyDescent="0.2">
      <c r="A18" s="700" t="s">
        <v>784</v>
      </c>
      <c r="B18" s="506"/>
      <c r="C18" s="506"/>
      <c r="D18" s="506"/>
      <c r="E18" s="506"/>
      <c r="F18" s="506"/>
      <c r="G18" s="506"/>
      <c r="H18" s="506"/>
      <c r="I18" s="733"/>
      <c r="J18" s="734"/>
    </row>
    <row r="19" spans="1:10" ht="14.7" customHeight="1" x14ac:dyDescent="0.3">
      <c r="A19" s="700" t="s">
        <v>825</v>
      </c>
      <c r="B19" s="52"/>
      <c r="C19" s="52"/>
      <c r="D19" s="52"/>
      <c r="E19" s="52"/>
      <c r="F19" s="52"/>
      <c r="G19" s="52"/>
      <c r="H19" s="52"/>
      <c r="I19" s="78"/>
      <c r="J19" s="75"/>
    </row>
    <row r="20" spans="1:10" x14ac:dyDescent="0.3">
      <c r="A20" s="708" t="s">
        <v>264</v>
      </c>
      <c r="B20" s="72"/>
      <c r="C20" s="72"/>
      <c r="D20" s="72"/>
      <c r="E20" s="72"/>
      <c r="F20" s="72"/>
      <c r="G20" s="72"/>
      <c r="H20" s="72"/>
      <c r="I20" s="78"/>
      <c r="J20" s="75"/>
    </row>
    <row r="21" spans="1:10" ht="15" customHeight="1" x14ac:dyDescent="0.3">
      <c r="A21" s="1767" t="s">
        <v>533</v>
      </c>
      <c r="B21" s="1768"/>
      <c r="C21" s="735" t="s">
        <v>59</v>
      </c>
      <c r="D21" s="1739" t="s">
        <v>15</v>
      </c>
      <c r="E21" s="1740"/>
      <c r="F21" s="736" t="s">
        <v>254</v>
      </c>
      <c r="G21" s="1495" t="s">
        <v>15</v>
      </c>
      <c r="H21" s="1495"/>
      <c r="I21" s="204"/>
    </row>
    <row r="22" spans="1:10" x14ac:dyDescent="0.3">
      <c r="A22" s="1769"/>
      <c r="B22" s="1770"/>
      <c r="C22" s="737" t="s">
        <v>255</v>
      </c>
      <c r="D22" s="532" t="s">
        <v>109</v>
      </c>
      <c r="E22" s="532" t="s">
        <v>192</v>
      </c>
      <c r="F22" s="738" t="s">
        <v>255</v>
      </c>
      <c r="G22" s="532" t="s">
        <v>109</v>
      </c>
      <c r="H22" s="532" t="s">
        <v>192</v>
      </c>
      <c r="I22" s="204"/>
    </row>
    <row r="23" spans="1:10" ht="14.1" customHeight="1" x14ac:dyDescent="0.3">
      <c r="A23" s="1757" t="s">
        <v>687</v>
      </c>
      <c r="B23" s="1758"/>
      <c r="C23" s="724"/>
      <c r="D23" s="1271" t="s">
        <v>150</v>
      </c>
      <c r="E23" s="1271"/>
      <c r="F23" s="739"/>
      <c r="G23" s="1271"/>
      <c r="H23" s="1271"/>
      <c r="I23" s="732"/>
    </row>
    <row r="24" spans="1:10" ht="14.1" customHeight="1" x14ac:dyDescent="0.3">
      <c r="A24" s="1481" t="s">
        <v>265</v>
      </c>
      <c r="B24" s="1483"/>
      <c r="C24" s="724"/>
      <c r="D24" s="1271"/>
      <c r="E24" s="1271" t="s">
        <v>150</v>
      </c>
      <c r="F24" s="739"/>
      <c r="G24" s="1271" t="s">
        <v>150</v>
      </c>
      <c r="H24" s="1271"/>
      <c r="I24" s="732"/>
    </row>
    <row r="25" spans="1:10" ht="14.1" customHeight="1" x14ac:dyDescent="0.3">
      <c r="A25" s="1481" t="s">
        <v>688</v>
      </c>
      <c r="B25" s="1483"/>
      <c r="C25" s="724"/>
      <c r="D25" s="1271"/>
      <c r="E25" s="1271"/>
      <c r="F25" s="739"/>
      <c r="G25" s="1271"/>
      <c r="H25" s="1271"/>
      <c r="I25" s="732"/>
    </row>
    <row r="26" spans="1:10" ht="14.1" customHeight="1" x14ac:dyDescent="0.3">
      <c r="A26" s="1481" t="s">
        <v>266</v>
      </c>
      <c r="B26" s="1483"/>
      <c r="C26" s="724"/>
      <c r="D26" s="1271"/>
      <c r="E26" s="1271"/>
      <c r="F26" s="739"/>
      <c r="G26" s="1271"/>
      <c r="H26" s="1271"/>
      <c r="I26" s="732"/>
    </row>
    <row r="27" spans="1:10" ht="14.1" customHeight="1" x14ac:dyDescent="0.3">
      <c r="A27" s="1481" t="s">
        <v>689</v>
      </c>
      <c r="B27" s="1483"/>
      <c r="C27" s="724"/>
      <c r="D27" s="1271"/>
      <c r="E27" s="1271"/>
      <c r="F27" s="739"/>
      <c r="G27" s="1271"/>
      <c r="H27" s="1271"/>
      <c r="I27" s="732"/>
    </row>
    <row r="28" spans="1:10" ht="14.1" customHeight="1" x14ac:dyDescent="0.3">
      <c r="A28" s="1481" t="s">
        <v>267</v>
      </c>
      <c r="B28" s="1483"/>
      <c r="C28" s="724"/>
      <c r="D28" s="1271"/>
      <c r="E28" s="1271"/>
      <c r="F28" s="739"/>
      <c r="G28" s="1271"/>
      <c r="H28" s="1271"/>
      <c r="I28" s="732"/>
    </row>
    <row r="29" spans="1:10" ht="14.1" customHeight="1" x14ac:dyDescent="0.3">
      <c r="A29" s="1481" t="s">
        <v>690</v>
      </c>
      <c r="B29" s="1483"/>
      <c r="C29" s="740"/>
      <c r="D29" s="1272"/>
      <c r="E29" s="1272"/>
      <c r="F29" s="741"/>
      <c r="G29" s="1272"/>
      <c r="H29" s="1272"/>
      <c r="I29" s="732"/>
    </row>
    <row r="30" spans="1:10" ht="14.1" customHeight="1" x14ac:dyDescent="0.3">
      <c r="A30" s="1481" t="s">
        <v>426</v>
      </c>
      <c r="B30" s="1483"/>
      <c r="C30" s="63">
        <v>1.5</v>
      </c>
      <c r="D30" s="730" t="str">
        <f>IF($C$30&lt;=2,"X","")</f>
        <v>X</v>
      </c>
      <c r="E30" s="730" t="str">
        <f>IF($C$30&gt;2,"X","")</f>
        <v/>
      </c>
      <c r="F30" s="335">
        <v>2</v>
      </c>
      <c r="G30" s="730" t="str">
        <f>IF($F$30&lt;=2,"X","")</f>
        <v>X</v>
      </c>
      <c r="H30" s="730" t="str">
        <f>IF($F$30&gt;2,"X","")</f>
        <v/>
      </c>
      <c r="I30" s="732"/>
    </row>
    <row r="31" spans="1:10" ht="14.1" customHeight="1" x14ac:dyDescent="0.3">
      <c r="A31" s="1492" t="s">
        <v>427</v>
      </c>
      <c r="B31" s="1766"/>
      <c r="C31" s="337">
        <v>6</v>
      </c>
      <c r="D31" s="742" t="str">
        <f>IF($C$31&lt;=5,"X","")</f>
        <v/>
      </c>
      <c r="E31" s="742" t="str">
        <f>IF($C$31&gt;5,"X","")</f>
        <v>X</v>
      </c>
      <c r="F31" s="336">
        <v>3</v>
      </c>
      <c r="G31" s="742" t="str">
        <f>IF($F$31&lt;=5,"X","")</f>
        <v>X</v>
      </c>
      <c r="H31" s="742" t="str">
        <f>IF($F$31&gt;5,"X","")</f>
        <v/>
      </c>
      <c r="I31" s="732"/>
    </row>
    <row r="32" spans="1:10" s="139" customFormat="1" ht="17.100000000000001" customHeight="1" x14ac:dyDescent="0.2">
      <c r="A32" s="87" t="s">
        <v>828</v>
      </c>
      <c r="B32" s="743"/>
      <c r="C32" s="743"/>
      <c r="D32" s="743"/>
      <c r="E32" s="743"/>
      <c r="F32" s="743"/>
      <c r="G32" s="743"/>
      <c r="H32" s="743"/>
      <c r="I32" s="744"/>
      <c r="J32" s="745"/>
    </row>
    <row r="33" spans="1:10" s="139" customFormat="1" ht="12" customHeight="1" x14ac:dyDescent="0.2">
      <c r="A33" s="86" t="s">
        <v>826</v>
      </c>
      <c r="B33" s="743"/>
      <c r="C33" s="743"/>
      <c r="D33" s="743"/>
      <c r="E33" s="743"/>
      <c r="F33" s="743"/>
      <c r="G33" s="743"/>
      <c r="H33" s="743"/>
      <c r="I33" s="744"/>
      <c r="J33" s="745"/>
    </row>
    <row r="34" spans="1:10" s="139" customFormat="1" ht="12" customHeight="1" x14ac:dyDescent="0.2">
      <c r="A34" s="86" t="s">
        <v>1026</v>
      </c>
      <c r="B34" s="743"/>
      <c r="C34" s="743"/>
      <c r="D34" s="743"/>
      <c r="E34" s="743"/>
      <c r="F34" s="743"/>
      <c r="G34" s="743"/>
      <c r="H34" s="743"/>
      <c r="I34" s="744"/>
      <c r="J34" s="745"/>
    </row>
    <row r="35" spans="1:10" s="139" customFormat="1" ht="12" customHeight="1" x14ac:dyDescent="0.2">
      <c r="A35" s="86" t="s">
        <v>268</v>
      </c>
      <c r="B35" s="743"/>
      <c r="C35" s="743"/>
      <c r="D35" s="743"/>
      <c r="E35" s="743"/>
      <c r="F35" s="743"/>
      <c r="G35" s="743"/>
      <c r="H35" s="743"/>
      <c r="I35" s="744"/>
      <c r="J35" s="745"/>
    </row>
    <row r="36" spans="1:10" x14ac:dyDescent="0.3">
      <c r="A36" s="72"/>
      <c r="B36" s="72"/>
      <c r="C36" s="72"/>
      <c r="D36" s="72"/>
      <c r="E36" s="72"/>
      <c r="F36" s="72"/>
      <c r="G36" s="72"/>
      <c r="H36" s="72"/>
      <c r="I36" s="78"/>
      <c r="J36" s="75"/>
    </row>
    <row r="37" spans="1:10" ht="14.1" customHeight="1" x14ac:dyDescent="0.3">
      <c r="A37" s="708" t="s">
        <v>443</v>
      </c>
      <c r="B37" s="334"/>
      <c r="C37" s="72"/>
      <c r="D37" s="72"/>
      <c r="E37" s="72"/>
      <c r="F37" s="72"/>
      <c r="G37" s="72"/>
      <c r="H37" s="72"/>
      <c r="I37" s="78"/>
      <c r="J37" s="75"/>
    </row>
    <row r="38" spans="1:10" ht="14.1" customHeight="1" x14ac:dyDescent="0.3">
      <c r="A38" s="1760" t="s">
        <v>1027</v>
      </c>
      <c r="B38" s="1761"/>
      <c r="C38" s="735" t="s">
        <v>59</v>
      </c>
      <c r="D38" s="1746" t="s">
        <v>15</v>
      </c>
      <c r="E38" s="1752"/>
      <c r="F38" s="736" t="s">
        <v>254</v>
      </c>
      <c r="G38" s="1746" t="s">
        <v>15</v>
      </c>
      <c r="H38" s="1740"/>
      <c r="I38" s="78"/>
      <c r="J38" s="75"/>
    </row>
    <row r="39" spans="1:10" ht="14.1" customHeight="1" x14ac:dyDescent="0.3">
      <c r="A39" s="1762"/>
      <c r="B39" s="1763"/>
      <c r="C39" s="737" t="s">
        <v>255</v>
      </c>
      <c r="D39" s="532" t="s">
        <v>109</v>
      </c>
      <c r="E39" s="532" t="s">
        <v>192</v>
      </c>
      <c r="F39" s="738" t="s">
        <v>255</v>
      </c>
      <c r="G39" s="532" t="s">
        <v>109</v>
      </c>
      <c r="H39" s="532" t="s">
        <v>192</v>
      </c>
      <c r="I39" s="78"/>
      <c r="J39" s="75"/>
    </row>
    <row r="40" spans="1:10" ht="14.1" customHeight="1" x14ac:dyDescent="0.3">
      <c r="A40" s="1753" t="s">
        <v>269</v>
      </c>
      <c r="B40" s="1754"/>
      <c r="C40" s="333">
        <v>7.5</v>
      </c>
      <c r="D40" s="746"/>
      <c r="E40" s="697"/>
      <c r="F40" s="202">
        <v>4</v>
      </c>
      <c r="G40" s="746"/>
      <c r="H40" s="697"/>
      <c r="I40" s="78"/>
      <c r="J40" s="75"/>
    </row>
    <row r="41" spans="1:10" ht="14.1" customHeight="1" x14ac:dyDescent="0.3">
      <c r="A41" s="1753" t="s">
        <v>270</v>
      </c>
      <c r="B41" s="1754"/>
      <c r="C41" s="747">
        <f>+C40/$B$9</f>
        <v>1.2096774193548387E-2</v>
      </c>
      <c r="D41" s="748" t="str">
        <f>IF($C$41&lt;=0.01,"X","")</f>
        <v/>
      </c>
      <c r="E41" s="748" t="str">
        <f>IF($C$41&gt;0.01,"X","")</f>
        <v>X</v>
      </c>
      <c r="F41" s="749">
        <f>+F40/$B$9</f>
        <v>6.4516129032258064E-3</v>
      </c>
      <c r="G41" s="748" t="str">
        <f>IF($F$41&lt;=0.01,"X","")</f>
        <v>X</v>
      </c>
      <c r="H41" s="730" t="str">
        <f>IF($F$41&gt;0.01,"X","")</f>
        <v/>
      </c>
      <c r="I41" s="732"/>
      <c r="J41" s="75"/>
    </row>
    <row r="42" spans="1:10" ht="14.1" customHeight="1" x14ac:dyDescent="0.3">
      <c r="A42" s="1755" t="s">
        <v>444</v>
      </c>
      <c r="B42" s="1756"/>
      <c r="C42" s="750"/>
      <c r="D42" s="332"/>
      <c r="E42" s="333"/>
      <c r="F42" s="202"/>
      <c r="G42" s="331"/>
      <c r="H42" s="202"/>
      <c r="I42" s="732"/>
      <c r="J42" s="75"/>
    </row>
    <row r="43" spans="1:10" s="85" customFormat="1" ht="14.1" customHeight="1" x14ac:dyDescent="0.2">
      <c r="A43" s="52"/>
      <c r="B43" s="52"/>
      <c r="C43" s="52"/>
      <c r="D43" s="52"/>
      <c r="E43" s="52"/>
      <c r="F43" s="52"/>
      <c r="G43" s="52"/>
      <c r="H43" s="52"/>
      <c r="I43" s="733"/>
      <c r="J43" s="734"/>
    </row>
    <row r="44" spans="1:10" ht="14.1" customHeight="1" x14ac:dyDescent="0.3">
      <c r="A44" s="708" t="s">
        <v>443</v>
      </c>
      <c r="B44" s="334"/>
      <c r="C44" s="72"/>
      <c r="D44" s="72"/>
      <c r="E44" s="72"/>
      <c r="F44" s="72"/>
      <c r="G44" s="72"/>
      <c r="H44" s="72"/>
      <c r="I44" s="78"/>
      <c r="J44" s="75"/>
    </row>
    <row r="45" spans="1:10" ht="14.1" customHeight="1" x14ac:dyDescent="0.3">
      <c r="A45" s="1760" t="s">
        <v>1027</v>
      </c>
      <c r="B45" s="1761"/>
      <c r="C45" s="735" t="s">
        <v>59</v>
      </c>
      <c r="D45" s="1746" t="s">
        <v>15</v>
      </c>
      <c r="E45" s="1752"/>
      <c r="F45" s="736" t="s">
        <v>254</v>
      </c>
      <c r="G45" s="1746" t="s">
        <v>15</v>
      </c>
      <c r="H45" s="1740"/>
      <c r="I45" s="78"/>
      <c r="J45" s="75"/>
    </row>
    <row r="46" spans="1:10" ht="14.1" customHeight="1" x14ac:dyDescent="0.3">
      <c r="A46" s="1762"/>
      <c r="B46" s="1763"/>
      <c r="C46" s="737" t="s">
        <v>255</v>
      </c>
      <c r="D46" s="532" t="s">
        <v>109</v>
      </c>
      <c r="E46" s="532" t="s">
        <v>192</v>
      </c>
      <c r="F46" s="738" t="s">
        <v>255</v>
      </c>
      <c r="G46" s="532" t="s">
        <v>109</v>
      </c>
      <c r="H46" s="532" t="s">
        <v>192</v>
      </c>
      <c r="I46" s="78"/>
      <c r="J46" s="75"/>
    </row>
    <row r="47" spans="1:10" ht="14.1" customHeight="1" x14ac:dyDescent="0.3">
      <c r="A47" s="1753" t="s">
        <v>269</v>
      </c>
      <c r="B47" s="1754"/>
      <c r="C47" s="333">
        <v>7</v>
      </c>
      <c r="D47" s="746"/>
      <c r="E47" s="697"/>
      <c r="F47" s="202">
        <v>4</v>
      </c>
      <c r="G47" s="746"/>
      <c r="H47" s="697"/>
      <c r="I47" s="78"/>
      <c r="J47" s="75"/>
    </row>
    <row r="48" spans="1:10" ht="14.1" customHeight="1" x14ac:dyDescent="0.3">
      <c r="A48" s="1753" t="s">
        <v>270</v>
      </c>
      <c r="B48" s="1754"/>
      <c r="C48" s="747">
        <f>+C47/$B$9</f>
        <v>1.1290322580645161E-2</v>
      </c>
      <c r="D48" s="748" t="str">
        <f>IF($C$41&lt;=0.01,"X","")</f>
        <v/>
      </c>
      <c r="E48" s="748" t="str">
        <f>IF($C$41&gt;0.01,"X","")</f>
        <v>X</v>
      </c>
      <c r="F48" s="749">
        <f>+F47/$B$9</f>
        <v>6.4516129032258064E-3</v>
      </c>
      <c r="G48" s="748" t="str">
        <f>IF($F$41&lt;=0.01,"X","")</f>
        <v>X</v>
      </c>
      <c r="H48" s="730" t="str">
        <f>IF($F$41&gt;0.01,"X","")</f>
        <v/>
      </c>
      <c r="I48" s="78"/>
      <c r="J48" s="75"/>
    </row>
    <row r="49" spans="1:10" ht="14.1" customHeight="1" x14ac:dyDescent="0.3">
      <c r="A49" s="1755" t="s">
        <v>444</v>
      </c>
      <c r="B49" s="1756"/>
      <c r="C49" s="759"/>
      <c r="D49" s="332"/>
      <c r="E49" s="333"/>
      <c r="F49" s="202"/>
      <c r="G49" s="331"/>
      <c r="H49" s="202"/>
      <c r="I49" s="78"/>
      <c r="J49" s="75"/>
    </row>
    <row r="50" spans="1:10" x14ac:dyDescent="0.3">
      <c r="A50" s="86" t="s">
        <v>812</v>
      </c>
      <c r="B50" s="506"/>
      <c r="C50" s="506"/>
      <c r="D50" s="506"/>
      <c r="E50" s="506"/>
      <c r="F50" s="506"/>
      <c r="G50" s="506"/>
      <c r="H50" s="506"/>
      <c r="I50" s="78"/>
      <c r="J50" s="75"/>
    </row>
    <row r="51" spans="1:10" x14ac:dyDescent="0.3">
      <c r="A51" s="86" t="s">
        <v>824</v>
      </c>
      <c r="B51" s="506"/>
      <c r="C51" s="506"/>
      <c r="D51" s="506"/>
      <c r="E51" s="506"/>
      <c r="F51" s="506"/>
      <c r="G51" s="506"/>
      <c r="H51" s="506"/>
      <c r="I51" s="78"/>
      <c r="J51" s="75"/>
    </row>
    <row r="52" spans="1:10" ht="14.7" customHeight="1" x14ac:dyDescent="0.3">
      <c r="A52" s="86" t="s">
        <v>823</v>
      </c>
      <c r="B52" s="52"/>
      <c r="C52" s="52"/>
      <c r="D52" s="52"/>
      <c r="E52" s="52"/>
      <c r="F52" s="52"/>
      <c r="G52" s="52"/>
      <c r="H52" s="52"/>
      <c r="I52" s="78"/>
      <c r="J52" s="75"/>
    </row>
    <row r="53" spans="1:10" x14ac:dyDescent="0.3">
      <c r="A53" s="751"/>
      <c r="B53" s="425"/>
      <c r="C53" s="752"/>
      <c r="D53" s="752"/>
      <c r="E53" s="752"/>
      <c r="F53" s="753"/>
      <c r="G53" s="1711" t="s">
        <v>15</v>
      </c>
      <c r="H53" s="1711"/>
      <c r="I53" s="78"/>
      <c r="J53" s="75"/>
    </row>
    <row r="54" spans="1:10" ht="15.75" customHeight="1" x14ac:dyDescent="0.3">
      <c r="A54" s="754"/>
      <c r="B54" s="755"/>
      <c r="C54" s="755"/>
      <c r="D54" s="755"/>
      <c r="E54" s="755"/>
      <c r="F54" s="756"/>
      <c r="G54" s="532" t="s">
        <v>109</v>
      </c>
      <c r="H54" s="532" t="s">
        <v>192</v>
      </c>
      <c r="I54" s="78"/>
      <c r="J54" s="75"/>
    </row>
    <row r="55" spans="1:10" x14ac:dyDescent="0.3">
      <c r="A55" s="1749" t="s">
        <v>822</v>
      </c>
      <c r="B55" s="1750"/>
      <c r="C55" s="1750"/>
      <c r="D55" s="1750"/>
      <c r="E55" s="1750"/>
      <c r="F55" s="1751"/>
      <c r="G55" s="1273" t="s">
        <v>150</v>
      </c>
      <c r="H55" s="1273"/>
      <c r="I55" s="78"/>
      <c r="J55" s="75"/>
    </row>
    <row r="56" spans="1:10" s="1075" customFormat="1" x14ac:dyDescent="0.3">
      <c r="A56" s="1297"/>
      <c r="B56" s="1297"/>
      <c r="C56" s="1297"/>
      <c r="D56" s="1297"/>
      <c r="E56" s="1297"/>
      <c r="F56" s="1297"/>
      <c r="G56" s="1298"/>
      <c r="H56" s="1298"/>
      <c r="I56" s="78"/>
      <c r="J56" s="75"/>
    </row>
    <row r="57" spans="1:10" s="1075" customFormat="1" x14ac:dyDescent="0.3">
      <c r="A57" s="708" t="s">
        <v>1063</v>
      </c>
      <c r="B57" s="1297"/>
      <c r="C57" s="1297"/>
      <c r="D57" s="1297"/>
      <c r="E57" s="1297"/>
      <c r="F57" s="1297"/>
      <c r="G57" s="1301"/>
      <c r="H57" s="1301"/>
      <c r="I57" s="78"/>
      <c r="J57" s="75"/>
    </row>
    <row r="58" spans="1:10" s="1075" customFormat="1" x14ac:dyDescent="0.3">
      <c r="A58" s="713" t="s">
        <v>827</v>
      </c>
      <c r="B58" s="1285">
        <v>650</v>
      </c>
      <c r="C58" s="709" t="s">
        <v>253</v>
      </c>
      <c r="D58" s="1764" t="s">
        <v>1065</v>
      </c>
      <c r="E58" s="1765"/>
      <c r="F58" s="1324">
        <f>(B58/B59)</f>
        <v>1.4444444444444444</v>
      </c>
      <c r="G58" s="1711" t="s">
        <v>15</v>
      </c>
      <c r="H58" s="1711"/>
      <c r="I58" s="78"/>
      <c r="J58" s="75"/>
    </row>
    <row r="59" spans="1:10" s="1075" customFormat="1" x14ac:dyDescent="0.3">
      <c r="A59" s="1299" t="s">
        <v>1064</v>
      </c>
      <c r="B59" s="706">
        <v>450</v>
      </c>
      <c r="C59" s="709" t="s">
        <v>253</v>
      </c>
      <c r="D59" s="755"/>
      <c r="E59" s="755"/>
      <c r="F59" s="756"/>
      <c r="G59" s="1283" t="s">
        <v>109</v>
      </c>
      <c r="H59" s="1283" t="s">
        <v>192</v>
      </c>
      <c r="I59" s="78"/>
      <c r="J59" s="75"/>
    </row>
    <row r="60" spans="1:10" s="1075" customFormat="1" x14ac:dyDescent="0.3">
      <c r="A60" s="1299" t="s">
        <v>1066</v>
      </c>
      <c r="B60" s="1040"/>
      <c r="C60" s="1040"/>
      <c r="D60" s="1040"/>
      <c r="E60" s="1040"/>
      <c r="F60" s="1040"/>
      <c r="G60" s="898"/>
      <c r="H60" s="898"/>
      <c r="I60" s="78"/>
      <c r="J60" s="75"/>
    </row>
    <row r="61" spans="1:10" s="1075" customFormat="1" x14ac:dyDescent="0.3">
      <c r="A61" s="1300" t="s">
        <v>1067</v>
      </c>
      <c r="B61" s="1303"/>
      <c r="C61" s="1303"/>
      <c r="D61" s="1303"/>
      <c r="E61" s="1303"/>
      <c r="F61" s="1303"/>
      <c r="G61" s="1302"/>
      <c r="H61" s="1302"/>
      <c r="I61" s="78"/>
      <c r="J61" s="75"/>
    </row>
    <row r="62" spans="1:10" s="1075" customFormat="1" x14ac:dyDescent="0.3">
      <c r="A62" s="1749" t="s">
        <v>1068</v>
      </c>
      <c r="B62" s="1750"/>
      <c r="C62" s="1750"/>
      <c r="D62" s="1750"/>
      <c r="E62" s="1750"/>
      <c r="F62" s="1751"/>
      <c r="G62" s="1273" t="s">
        <v>489</v>
      </c>
      <c r="H62" s="1273"/>
      <c r="I62" s="78"/>
      <c r="J62" s="75"/>
    </row>
    <row r="63" spans="1:10" ht="24" customHeight="1" x14ac:dyDescent="0.3">
      <c r="A63" s="52"/>
      <c r="B63" s="52"/>
      <c r="C63" s="52"/>
      <c r="D63" s="52"/>
      <c r="E63" s="52"/>
      <c r="F63" s="52"/>
      <c r="G63" s="52"/>
      <c r="H63" s="52"/>
      <c r="I63" s="128"/>
      <c r="J63" s="75"/>
    </row>
    <row r="64" spans="1:10" x14ac:dyDescent="0.3">
      <c r="A64" s="760" t="s">
        <v>778</v>
      </c>
      <c r="B64" s="1759"/>
      <c r="C64" s="1759"/>
      <c r="D64" s="1759"/>
      <c r="E64" s="1759"/>
      <c r="F64" s="1759"/>
      <c r="G64" s="1759"/>
      <c r="H64" s="1759"/>
      <c r="I64" s="78"/>
      <c r="J64" s="75"/>
    </row>
    <row r="65" spans="1:10" x14ac:dyDescent="0.3">
      <c r="A65" s="1759"/>
      <c r="B65" s="1759"/>
      <c r="C65" s="1759"/>
      <c r="D65" s="1759"/>
      <c r="E65" s="1759"/>
      <c r="F65" s="1759"/>
      <c r="G65" s="1759"/>
      <c r="H65" s="1759"/>
      <c r="I65" s="1063" t="s">
        <v>500</v>
      </c>
      <c r="J65" s="75"/>
    </row>
    <row r="66" spans="1:10" x14ac:dyDescent="0.3">
      <c r="A66" s="1759"/>
      <c r="B66" s="1759"/>
      <c r="C66" s="1759"/>
      <c r="D66" s="1759"/>
      <c r="E66" s="1759"/>
      <c r="F66" s="1759"/>
      <c r="G66" s="1759"/>
      <c r="H66" s="1759"/>
      <c r="I66" s="757">
        <f>+COUNTIF(H55,"X")+COUNTIF(E41:E42,"X")+COUNTIF(H48:H49,"X")+COUNTIF(H23:H31,"X")+COUNTIF(E23:E31,"X")+COUNTIF(H13,"X")+COUNTIF(H17,"X")+COUNTIF(E17,"X")+COUNTIF(E13,"X")+COUNTIF(H41:H42,"X")+COUNTIF(E48:E49,"X")</f>
        <v>6</v>
      </c>
      <c r="J66" s="75"/>
    </row>
    <row r="67" spans="1:10" x14ac:dyDescent="0.3">
      <c r="J67" s="75"/>
    </row>
    <row r="68" spans="1:10" x14ac:dyDescent="0.3">
      <c r="I68" s="75"/>
      <c r="J68" s="75"/>
    </row>
    <row r="69" spans="1:10" x14ac:dyDescent="0.3">
      <c r="I69" s="75"/>
      <c r="J69" s="75"/>
    </row>
    <row r="70" spans="1:10" x14ac:dyDescent="0.3">
      <c r="I70" s="75"/>
      <c r="J70" s="75"/>
    </row>
  </sheetData>
  <sheetProtection algorithmName="SHA-512" hashValue="rju9uaFMg3PDRcgKkxlmeEcBRHb4MDzC70sGR5mHUbizhXoXS98pMAjZRNA+baJJtod44VnhBx/aAftwk2NTzA==" saltValue="t9NcP1BPh6mbrODOGFIaLQ==" spinCount="100000" sheet="1" objects="1" scenarios="1"/>
  <mergeCells count="34">
    <mergeCell ref="A24:B24"/>
    <mergeCell ref="A31:B31"/>
    <mergeCell ref="A25:B25"/>
    <mergeCell ref="A21:B22"/>
    <mergeCell ref="D21:E21"/>
    <mergeCell ref="B64:H64"/>
    <mergeCell ref="A65:H65"/>
    <mergeCell ref="A66:H66"/>
    <mergeCell ref="D38:E38"/>
    <mergeCell ref="G38:H38"/>
    <mergeCell ref="A40:B40"/>
    <mergeCell ref="A41:B41"/>
    <mergeCell ref="A42:B42"/>
    <mergeCell ref="A45:B46"/>
    <mergeCell ref="A38:B39"/>
    <mergeCell ref="G58:H58"/>
    <mergeCell ref="A62:F62"/>
    <mergeCell ref="D58:E58"/>
    <mergeCell ref="D8:E8"/>
    <mergeCell ref="G8:H8"/>
    <mergeCell ref="A55:F55"/>
    <mergeCell ref="D45:E45"/>
    <mergeCell ref="G45:H45"/>
    <mergeCell ref="A47:B47"/>
    <mergeCell ref="A48:B48"/>
    <mergeCell ref="A49:B49"/>
    <mergeCell ref="A29:B29"/>
    <mergeCell ref="G53:H53"/>
    <mergeCell ref="A26:B26"/>
    <mergeCell ref="A27:B27"/>
    <mergeCell ref="A28:B28"/>
    <mergeCell ref="A30:B30"/>
    <mergeCell ref="G21:H21"/>
    <mergeCell ref="A23:B23"/>
  </mergeCells>
  <conditionalFormatting sqref="C13 C17 F13 F17">
    <cfRule type="cellIs" dxfId="8" priority="10" operator="greaterThan">
      <formula>0.02</formula>
    </cfRule>
  </conditionalFormatting>
  <conditionalFormatting sqref="C41 F41">
    <cfRule type="cellIs" dxfId="7" priority="4" operator="greaterThan">
      <formula>0.01</formula>
    </cfRule>
    <cfRule type="cellIs" dxfId="6" priority="8" operator="greaterThan">
      <formula>0.01</formula>
    </cfRule>
  </conditionalFormatting>
  <conditionalFormatting sqref="C13 F13 C17 F17">
    <cfRule type="cellIs" dxfId="5" priority="7" operator="greaterThan">
      <formula>0.02</formula>
    </cfRule>
  </conditionalFormatting>
  <conditionalFormatting sqref="C30:C31 F30:F31">
    <cfRule type="cellIs" dxfId="0" priority="6" operator="greaterThan">
      <formula>5</formula>
    </cfRule>
  </conditionalFormatting>
  <conditionalFormatting sqref="F41">
    <cfRule type="cellIs" dxfId="4" priority="5" operator="greaterThan">
      <formula>0.01</formula>
    </cfRule>
  </conditionalFormatting>
  <conditionalFormatting sqref="C48 F48">
    <cfRule type="cellIs" dxfId="3" priority="1" operator="greaterThan">
      <formula>0.01</formula>
    </cfRule>
    <cfRule type="cellIs" dxfId="2" priority="3" operator="greaterThan">
      <formula>0.01</formula>
    </cfRule>
  </conditionalFormatting>
  <conditionalFormatting sqref="F48">
    <cfRule type="cellIs" dxfId="1" priority="2" operator="greaterThan">
      <formula>0.01</formula>
    </cfRule>
  </conditionalFormatting>
  <printOptions horizontalCentered="1"/>
  <pageMargins left="0.70866141732283472" right="0.70866141732283472" top="0.74803149606299213" bottom="0.74803149606299213" header="0.31496062992125984" footer="0.31496062992125984"/>
  <pageSetup paperSize="120" scale="71" orientation="portrait" r:id="rId1"/>
  <headerFooter>
    <oddFooter>&amp;CPage &amp;P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4">
    <tabColor theme="5" tint="-0.249977111117893"/>
    <pageSetUpPr fitToPage="1"/>
  </sheetPr>
  <dimension ref="A1:O67"/>
  <sheetViews>
    <sheetView topLeftCell="A16" zoomScaleNormal="100" zoomScalePageLayoutView="85" workbookViewId="0">
      <selection activeCell="K31" sqref="K31"/>
    </sheetView>
  </sheetViews>
  <sheetFormatPr baseColWidth="10" defaultColWidth="9.33203125" defaultRowHeight="15.6" x14ac:dyDescent="0.3"/>
  <cols>
    <col min="1" max="1" width="10.5546875" style="1133" customWidth="1"/>
    <col min="2" max="2" width="10.6640625" style="1133" customWidth="1"/>
    <col min="3" max="3" width="22.33203125" style="1133" customWidth="1"/>
    <col min="4" max="4" width="36.33203125" style="1133" customWidth="1"/>
    <col min="5" max="8" width="10.6640625" style="1133" customWidth="1"/>
    <col min="9" max="9" width="5.6640625" style="1133" customWidth="1"/>
    <col min="10" max="10" width="6.5546875" style="1133" customWidth="1"/>
    <col min="11" max="11" width="22.44140625" style="1133" customWidth="1"/>
    <col min="12" max="13" width="9.33203125" style="1133"/>
    <col min="14" max="14" width="21.6640625" style="1133" customWidth="1"/>
    <col min="15" max="16384" width="9.33203125" style="1133"/>
  </cols>
  <sheetData>
    <row r="1" spans="1:15" ht="17.7" customHeight="1" x14ac:dyDescent="0.3">
      <c r="A1" s="761" t="s">
        <v>753</v>
      </c>
      <c r="B1" s="762"/>
      <c r="C1" s="54" t="str">
        <f>Info!C10</f>
        <v>Clinique Ste-Mammo</v>
      </c>
      <c r="D1" s="55"/>
      <c r="E1" s="56" t="s">
        <v>755</v>
      </c>
      <c r="F1" s="55"/>
      <c r="G1" s="55"/>
      <c r="H1" s="203" t="str">
        <f>+Info!C37</f>
        <v>20-01-2020</v>
      </c>
      <c r="I1" s="1132"/>
      <c r="K1" s="1075" t="s">
        <v>448</v>
      </c>
    </row>
    <row r="2" spans="1:15" x14ac:dyDescent="0.3">
      <c r="A2" s="58" t="s">
        <v>754</v>
      </c>
      <c r="B2" s="763"/>
      <c r="C2" s="59" t="str">
        <f>Info!C21</f>
        <v>Salle 2, Hirad IV</v>
      </c>
      <c r="D2" s="51"/>
      <c r="E2" s="60" t="s">
        <v>756</v>
      </c>
      <c r="F2" s="51"/>
      <c r="G2" s="51"/>
      <c r="H2" s="61" t="str">
        <f>+Info!C35</f>
        <v>Alexandre Toussaint</v>
      </c>
      <c r="I2" s="1132"/>
      <c r="J2" s="1134"/>
      <c r="K2" s="350" t="str">
        <f>Éqpmt!B35</f>
        <v>bureau Dr Xxx (console #3)</v>
      </c>
    </row>
    <row r="3" spans="1:15" ht="11.7" customHeight="1" x14ac:dyDescent="0.3">
      <c r="A3" s="1135"/>
      <c r="B3" s="1135"/>
      <c r="C3" s="1135"/>
      <c r="D3" s="1135"/>
      <c r="E3" s="1135"/>
      <c r="F3" s="1135"/>
      <c r="G3" s="1135"/>
      <c r="H3" s="1135"/>
      <c r="I3" s="1132"/>
      <c r="J3" s="1134"/>
      <c r="K3" s="1091" t="str">
        <f>Éqpmt!E35</f>
        <v>bureau Dr Xxx (console #3)</v>
      </c>
    </row>
    <row r="4" spans="1:15" ht="18.600000000000001" customHeight="1" x14ac:dyDescent="0.3">
      <c r="A4" s="1136" t="s">
        <v>829</v>
      </c>
      <c r="B4" s="1137"/>
      <c r="C4" s="1137"/>
      <c r="D4" s="1137"/>
      <c r="E4" s="1137"/>
      <c r="F4" s="1135"/>
      <c r="G4" s="1135"/>
      <c r="H4" s="1135"/>
      <c r="I4" s="1132"/>
      <c r="J4" s="1134"/>
      <c r="K4" s="1091" t="str">
        <f>Éqpmt!B42</f>
        <v>salle 5043</v>
      </c>
      <c r="N4" s="1131" t="s">
        <v>403</v>
      </c>
      <c r="O4" s="1079"/>
    </row>
    <row r="5" spans="1:15" ht="14.1" customHeight="1" x14ac:dyDescent="0.3">
      <c r="A5" s="1137"/>
      <c r="B5" s="1137"/>
      <c r="C5" s="1137"/>
      <c r="D5" s="1138" t="s">
        <v>404</v>
      </c>
      <c r="E5" s="1793" t="s">
        <v>772</v>
      </c>
      <c r="F5" s="1794"/>
      <c r="G5" s="1794"/>
      <c r="H5" s="1795"/>
      <c r="I5" s="1132"/>
      <c r="J5" s="1134"/>
      <c r="K5" s="1091" t="str">
        <f>Éqpmt!E42</f>
        <v>salle 5043</v>
      </c>
      <c r="N5" s="1131" t="s">
        <v>446</v>
      </c>
      <c r="O5" s="1131" t="s">
        <v>271</v>
      </c>
    </row>
    <row r="6" spans="1:15" ht="14.1" customHeight="1" x14ac:dyDescent="0.3">
      <c r="B6" s="1135"/>
      <c r="C6" s="1135"/>
      <c r="D6" s="1274" t="s">
        <v>412</v>
      </c>
      <c r="E6" s="1800" t="s">
        <v>445</v>
      </c>
      <c r="F6" s="1801"/>
      <c r="G6" s="1801"/>
      <c r="H6" s="1802"/>
      <c r="I6" s="1132"/>
      <c r="J6" s="1134"/>
      <c r="K6" s="1091" t="str">
        <f>Éqpmt!B49</f>
        <v>bureau Dr Ladouceur</v>
      </c>
      <c r="N6" s="1131" t="s">
        <v>445</v>
      </c>
      <c r="O6" s="1131" t="s">
        <v>405</v>
      </c>
    </row>
    <row r="7" spans="1:15" ht="14.1" customHeight="1" x14ac:dyDescent="0.3">
      <c r="B7" s="1139"/>
      <c r="C7" s="1139"/>
      <c r="E7" s="1139"/>
      <c r="F7" s="1135"/>
      <c r="G7" s="1137"/>
      <c r="H7" s="1135"/>
      <c r="I7" s="1132"/>
      <c r="J7" s="1134"/>
      <c r="K7" s="1091" t="str">
        <f>Éqpmt!E49</f>
        <v>bureau Dr Ladouceur</v>
      </c>
      <c r="N7" s="1134"/>
      <c r="O7" s="1131"/>
    </row>
    <row r="8" spans="1:15" ht="14.1" customHeight="1" x14ac:dyDescent="0.3">
      <c r="A8" s="1135"/>
      <c r="B8" s="1139"/>
      <c r="C8" s="1139"/>
      <c r="D8" s="1139"/>
      <c r="E8" s="1139"/>
      <c r="F8" s="1129" t="s">
        <v>691</v>
      </c>
      <c r="G8" s="1139"/>
      <c r="H8" s="1129" t="s">
        <v>691</v>
      </c>
      <c r="I8" s="1132"/>
      <c r="J8" s="1134"/>
      <c r="K8" s="1091" t="str">
        <f>Éqpmt!B57</f>
        <v>technologue</v>
      </c>
      <c r="N8" s="1134"/>
      <c r="O8" s="1131"/>
    </row>
    <row r="9" spans="1:15" s="1134" customFormat="1" ht="15.75" customHeight="1" x14ac:dyDescent="0.3">
      <c r="A9" s="1803" t="s">
        <v>272</v>
      </c>
      <c r="B9" s="1804"/>
      <c r="C9" s="1804"/>
      <c r="D9" s="1805"/>
      <c r="E9" s="1124" t="s">
        <v>290</v>
      </c>
      <c r="F9" s="1124">
        <v>12345</v>
      </c>
      <c r="G9" s="1124" t="s">
        <v>291</v>
      </c>
      <c r="H9" s="1124">
        <v>987</v>
      </c>
      <c r="I9" s="1140"/>
      <c r="K9" s="1091" t="str">
        <f>Éqpmt!E57</f>
        <v>appareil</v>
      </c>
      <c r="O9" s="1131"/>
    </row>
    <row r="10" spans="1:15" s="1134" customFormat="1" ht="14.1" customHeight="1" x14ac:dyDescent="0.3">
      <c r="A10" s="1806"/>
      <c r="B10" s="1807"/>
      <c r="C10" s="1807"/>
      <c r="D10" s="1808"/>
      <c r="E10" s="1798" t="s">
        <v>15</v>
      </c>
      <c r="F10" s="1798"/>
      <c r="G10" s="1798" t="s">
        <v>15</v>
      </c>
      <c r="H10" s="1798"/>
      <c r="I10" s="1140"/>
      <c r="K10" s="1102" t="s">
        <v>179</v>
      </c>
    </row>
    <row r="11" spans="1:15" s="1134" customFormat="1" ht="14.1" customHeight="1" x14ac:dyDescent="0.3">
      <c r="A11" s="1780"/>
      <c r="B11" s="1781"/>
      <c r="C11" s="1781"/>
      <c r="D11" s="1782"/>
      <c r="E11" s="1206" t="s">
        <v>16</v>
      </c>
      <c r="F11" s="1206" t="s">
        <v>17</v>
      </c>
      <c r="G11" s="1206" t="s">
        <v>16</v>
      </c>
      <c r="H11" s="1206" t="s">
        <v>17</v>
      </c>
      <c r="I11" s="1140"/>
      <c r="K11" s="1102" t="s">
        <v>180</v>
      </c>
      <c r="N11" s="1134" t="s">
        <v>466</v>
      </c>
    </row>
    <row r="12" spans="1:15" s="1134" customFormat="1" ht="14.1" customHeight="1" x14ac:dyDescent="0.3">
      <c r="A12" s="1809" t="s">
        <v>273</v>
      </c>
      <c r="B12" s="1809"/>
      <c r="C12" s="1809"/>
      <c r="D12" s="1809"/>
      <c r="E12" s="1129" t="s">
        <v>150</v>
      </c>
      <c r="F12" s="1129"/>
      <c r="G12" s="1084"/>
      <c r="H12" s="1084"/>
      <c r="I12" s="1078"/>
      <c r="K12" s="1102" t="s">
        <v>181</v>
      </c>
      <c r="N12" s="1141" t="s">
        <v>290</v>
      </c>
    </row>
    <row r="13" spans="1:15" s="1134" customFormat="1" ht="14.1" customHeight="1" x14ac:dyDescent="0.3">
      <c r="A13" s="1809" t="s">
        <v>274</v>
      </c>
      <c r="B13" s="1809"/>
      <c r="C13" s="1809"/>
      <c r="D13" s="1809"/>
      <c r="E13" s="1129"/>
      <c r="F13" s="1129"/>
      <c r="G13" s="1084"/>
      <c r="H13" s="1084"/>
      <c r="I13" s="1078"/>
      <c r="K13" s="1102" t="s">
        <v>182</v>
      </c>
      <c r="N13" s="1141" t="s">
        <v>291</v>
      </c>
    </row>
    <row r="14" spans="1:15" s="1134" customFormat="1" ht="14.1" customHeight="1" x14ac:dyDescent="0.3">
      <c r="A14" s="1789" t="s">
        <v>275</v>
      </c>
      <c r="B14" s="1790"/>
      <c r="C14" s="1790"/>
      <c r="D14" s="1791"/>
      <c r="E14" s="1129"/>
      <c r="F14" s="1129"/>
      <c r="G14" s="1084"/>
      <c r="H14" s="1084" t="s">
        <v>150</v>
      </c>
      <c r="I14" s="1078"/>
      <c r="K14" s="1102" t="s">
        <v>183</v>
      </c>
      <c r="N14" s="1141" t="s">
        <v>465</v>
      </c>
    </row>
    <row r="15" spans="1:15" s="1134" customFormat="1" ht="14.1" customHeight="1" x14ac:dyDescent="0.3">
      <c r="A15" s="1789" t="s">
        <v>276</v>
      </c>
      <c r="B15" s="1790"/>
      <c r="C15" s="1790"/>
      <c r="D15" s="1791"/>
      <c r="E15" s="1129"/>
      <c r="F15" s="1129"/>
      <c r="G15" s="1084"/>
      <c r="H15" s="1084"/>
      <c r="I15" s="1078"/>
      <c r="K15" s="1102" t="s">
        <v>184</v>
      </c>
      <c r="N15" s="1141"/>
    </row>
    <row r="16" spans="1:15" s="1134" customFormat="1" ht="14.1" customHeight="1" x14ac:dyDescent="0.3">
      <c r="A16" s="1809" t="s">
        <v>277</v>
      </c>
      <c r="B16" s="1809"/>
      <c r="C16" s="1809"/>
      <c r="D16" s="1129">
        <v>20</v>
      </c>
      <c r="E16" s="1144" t="str">
        <f>IF(ISBLANK($D16),"",IF($D16&lt;=40,"X",""))</f>
        <v>X</v>
      </c>
      <c r="F16" s="1144" t="str">
        <f>IF(ISBLANK($D16),"",IF($D16&lt;=40,"","X"))</f>
        <v/>
      </c>
      <c r="G16" s="1144" t="str">
        <f>IF(ISBLANK($D16),"",IF($D16&lt;=40,"X",""))</f>
        <v>X</v>
      </c>
      <c r="H16" s="1144" t="str">
        <f>IF(ISBLANK($D16),"",IF($D16&lt;=40,"","X"))</f>
        <v/>
      </c>
      <c r="I16" s="1078"/>
      <c r="K16" s="1102" t="s">
        <v>185</v>
      </c>
      <c r="L16" s="1142"/>
    </row>
    <row r="17" spans="1:11" s="1134" customFormat="1" ht="14.25" customHeight="1" x14ac:dyDescent="0.3">
      <c r="A17" s="1139"/>
      <c r="B17" s="1139"/>
      <c r="C17" s="1139"/>
      <c r="D17" s="1139"/>
      <c r="E17" s="1139"/>
      <c r="F17" s="1139"/>
      <c r="G17" s="1139"/>
      <c r="H17" s="1139"/>
      <c r="I17" s="1140"/>
      <c r="K17" s="356" t="s">
        <v>186</v>
      </c>
    </row>
    <row r="18" spans="1:11" s="1134" customFormat="1" ht="14.25" customHeight="1" x14ac:dyDescent="0.3">
      <c r="A18" s="1139"/>
      <c r="B18" s="1139"/>
      <c r="C18" s="1139"/>
      <c r="D18" s="1139"/>
      <c r="E18" s="1139"/>
      <c r="F18" s="1139"/>
      <c r="G18" s="1139"/>
      <c r="H18" s="1139"/>
      <c r="I18" s="1140"/>
      <c r="K18" s="1143"/>
    </row>
    <row r="19" spans="1:11" s="1134" customFormat="1" ht="14.1" customHeight="1" x14ac:dyDescent="0.3">
      <c r="A19" s="1811" t="s">
        <v>278</v>
      </c>
      <c r="B19" s="1811"/>
      <c r="C19" s="1811"/>
      <c r="D19" s="1811"/>
      <c r="E19" s="1144" t="str">
        <f>E9</f>
        <v>Gauche</v>
      </c>
      <c r="F19" s="1275">
        <f>F9</f>
        <v>12345</v>
      </c>
      <c r="G19" s="1144" t="str">
        <f t="shared" ref="G19:H19" si="0">G9</f>
        <v>Droit</v>
      </c>
      <c r="H19" s="1275">
        <f t="shared" si="0"/>
        <v>987</v>
      </c>
      <c r="I19" s="1140"/>
    </row>
    <row r="20" spans="1:11" s="1134" customFormat="1" ht="14.1" customHeight="1" x14ac:dyDescent="0.3">
      <c r="A20" s="1811"/>
      <c r="B20" s="1811"/>
      <c r="C20" s="1811"/>
      <c r="D20" s="1811"/>
      <c r="E20" s="1799" t="s">
        <v>15</v>
      </c>
      <c r="F20" s="1799"/>
      <c r="G20" s="1799" t="s">
        <v>15</v>
      </c>
      <c r="H20" s="1799"/>
      <c r="I20" s="1140"/>
      <c r="K20" s="953" t="s">
        <v>535</v>
      </c>
    </row>
    <row r="21" spans="1:11" s="1134" customFormat="1" ht="14.1" customHeight="1" x14ac:dyDescent="0.3">
      <c r="A21" s="1810" t="s">
        <v>279</v>
      </c>
      <c r="B21" s="1810"/>
      <c r="C21" s="1810"/>
      <c r="D21" s="1810"/>
      <c r="E21" s="1206" t="s">
        <v>16</v>
      </c>
      <c r="F21" s="1206" t="s">
        <v>17</v>
      </c>
      <c r="G21" s="1206" t="s">
        <v>16</v>
      </c>
      <c r="H21" s="1206" t="s">
        <v>17</v>
      </c>
      <c r="I21" s="1140"/>
      <c r="K21" s="1167">
        <f>Éqpmt!B38</f>
        <v>12345</v>
      </c>
    </row>
    <row r="22" spans="1:11" s="1134" customFormat="1" ht="14.1" customHeight="1" x14ac:dyDescent="0.3">
      <c r="A22" s="1792" t="s">
        <v>280</v>
      </c>
      <c r="B22" s="1790"/>
      <c r="C22" s="1790"/>
      <c r="D22" s="1791"/>
      <c r="E22" s="1129"/>
      <c r="F22" s="1129"/>
      <c r="G22" s="1129"/>
      <c r="H22" s="1129"/>
      <c r="I22" s="1078"/>
      <c r="K22" s="1167">
        <f>Éqpmt!E38</f>
        <v>567789</v>
      </c>
    </row>
    <row r="23" spans="1:11" s="1134" customFormat="1" ht="14.1" customHeight="1" x14ac:dyDescent="0.3">
      <c r="A23" s="1145" t="s">
        <v>281</v>
      </c>
      <c r="B23" s="1145"/>
      <c r="C23" s="1145"/>
      <c r="D23" s="1145"/>
      <c r="E23" s="1129"/>
      <c r="F23" s="1129"/>
      <c r="G23" s="1129"/>
      <c r="H23" s="1129"/>
      <c r="I23" s="1078"/>
      <c r="K23" s="1167">
        <f>Éqpmt!B45</f>
        <v>87654</v>
      </c>
    </row>
    <row r="24" spans="1:11" s="1134" customFormat="1" ht="14.1" customHeight="1" x14ac:dyDescent="0.3">
      <c r="A24" s="1792" t="s">
        <v>282</v>
      </c>
      <c r="B24" s="1790"/>
      <c r="C24" s="1790"/>
      <c r="D24" s="1791"/>
      <c r="E24" s="1129"/>
      <c r="F24" s="1129"/>
      <c r="G24" s="1129"/>
      <c r="H24" s="1129"/>
      <c r="I24" s="1078"/>
      <c r="K24" s="1167">
        <f>Éqpmt!E45</f>
        <v>987</v>
      </c>
    </row>
    <row r="25" spans="1:11" s="1134" customFormat="1" ht="14.1" customHeight="1" x14ac:dyDescent="0.3">
      <c r="A25" s="1792" t="s">
        <v>283</v>
      </c>
      <c r="B25" s="1790"/>
      <c r="C25" s="1790"/>
      <c r="D25" s="1791"/>
      <c r="E25" s="1129"/>
      <c r="F25" s="1129"/>
      <c r="G25" s="1129"/>
      <c r="H25" s="1129"/>
      <c r="I25" s="1078"/>
      <c r="K25" s="1167">
        <f>Éqpmt!B52</f>
        <v>7654</v>
      </c>
    </row>
    <row r="26" spans="1:11" s="1134" customFormat="1" ht="14.1" customHeight="1" x14ac:dyDescent="0.3">
      <c r="A26" s="1792" t="s">
        <v>284</v>
      </c>
      <c r="B26" s="1790"/>
      <c r="C26" s="1790"/>
      <c r="D26" s="1791"/>
      <c r="E26" s="1129"/>
      <c r="F26" s="1129"/>
      <c r="G26" s="1129"/>
      <c r="H26" s="1129"/>
      <c r="I26" s="1078"/>
      <c r="K26" s="1167">
        <f>Éqpmt!E52</f>
        <v>1234</v>
      </c>
    </row>
    <row r="27" spans="1:11" s="1134" customFormat="1" ht="14.1" customHeight="1" x14ac:dyDescent="0.3">
      <c r="A27" s="1792" t="s">
        <v>285</v>
      </c>
      <c r="B27" s="1790"/>
      <c r="C27" s="1790"/>
      <c r="D27" s="1791"/>
      <c r="E27" s="1129"/>
      <c r="F27" s="1129"/>
      <c r="G27" s="1129"/>
      <c r="H27" s="1129"/>
      <c r="I27" s="1078"/>
      <c r="K27" s="1167">
        <f>Éqpmt!B60</f>
        <v>8654</v>
      </c>
    </row>
    <row r="28" spans="1:11" s="1134" customFormat="1" ht="14.1" customHeight="1" x14ac:dyDescent="0.3">
      <c r="A28" s="1792" t="s">
        <v>286</v>
      </c>
      <c r="B28" s="1790"/>
      <c r="C28" s="1790"/>
      <c r="D28" s="1791"/>
      <c r="E28" s="1129"/>
      <c r="F28" s="1129"/>
      <c r="G28" s="1129"/>
      <c r="H28" s="1129"/>
      <c r="I28" s="1078"/>
      <c r="K28" s="954">
        <f>Éqpmt!E60</f>
        <v>241462</v>
      </c>
    </row>
    <row r="29" spans="1:11" s="1134" customFormat="1" ht="14.1" customHeight="1" x14ac:dyDescent="0.3">
      <c r="A29" s="1792" t="s">
        <v>287</v>
      </c>
      <c r="B29" s="1790"/>
      <c r="C29" s="1790"/>
      <c r="D29" s="1791"/>
      <c r="E29" s="1129"/>
      <c r="F29" s="1129"/>
      <c r="G29" s="1129"/>
      <c r="H29" s="1129"/>
      <c r="I29" s="1078"/>
    </row>
    <row r="30" spans="1:11" s="1134" customFormat="1" ht="14.1" customHeight="1" x14ac:dyDescent="0.3">
      <c r="A30" s="1787" t="s">
        <v>913</v>
      </c>
      <c r="B30" s="1788"/>
      <c r="C30" s="1788"/>
      <c r="D30" s="1788"/>
      <c r="E30" s="1276"/>
      <c r="F30" s="1276"/>
      <c r="G30" s="1276"/>
      <c r="H30" s="1277"/>
      <c r="I30" s="1140"/>
    </row>
    <row r="31" spans="1:11" s="1134" customFormat="1" ht="14.1" customHeight="1" x14ac:dyDescent="0.3">
      <c r="A31" s="1792" t="s">
        <v>428</v>
      </c>
      <c r="B31" s="1790"/>
      <c r="C31" s="1790"/>
      <c r="D31" s="1791"/>
      <c r="E31" s="1129"/>
      <c r="F31" s="1129"/>
      <c r="G31" s="1129"/>
      <c r="H31" s="1129"/>
      <c r="I31" s="1078"/>
    </row>
    <row r="32" spans="1:11" s="1134" customFormat="1" ht="14.1" customHeight="1" x14ac:dyDescent="0.3">
      <c r="A32" s="1792" t="s">
        <v>288</v>
      </c>
      <c r="B32" s="1790"/>
      <c r="C32" s="1790"/>
      <c r="D32" s="1791"/>
      <c r="E32" s="1129"/>
      <c r="F32" s="1129"/>
      <c r="G32" s="1129"/>
      <c r="H32" s="1129"/>
      <c r="I32" s="1078"/>
    </row>
    <row r="33" spans="1:11" s="1134" customFormat="1" ht="14.1" customHeight="1" x14ac:dyDescent="0.3">
      <c r="A33" s="1792" t="s">
        <v>289</v>
      </c>
      <c r="B33" s="1790"/>
      <c r="C33" s="1790"/>
      <c r="D33" s="1791"/>
      <c r="E33" s="1129"/>
      <c r="F33" s="1129"/>
      <c r="G33" s="1129"/>
      <c r="H33" s="1129"/>
      <c r="I33" s="1078"/>
    </row>
    <row r="34" spans="1:11" s="1134" customFormat="1" x14ac:dyDescent="0.3">
      <c r="A34" s="1139"/>
      <c r="B34" s="1139"/>
      <c r="C34" s="1139"/>
      <c r="D34" s="1139"/>
      <c r="E34" s="1139"/>
      <c r="F34" s="1139"/>
      <c r="G34" s="1139"/>
      <c r="H34" s="1139"/>
      <c r="I34" s="1140"/>
    </row>
    <row r="35" spans="1:11" s="1134" customFormat="1" ht="14.1" customHeight="1" x14ac:dyDescent="0.3">
      <c r="A35" s="764" t="s">
        <v>292</v>
      </c>
      <c r="B35" s="765"/>
      <c r="C35" s="765"/>
      <c r="D35" s="766"/>
      <c r="E35" s="1144" t="str">
        <f>E9</f>
        <v>Gauche</v>
      </c>
      <c r="F35" s="1275">
        <f>F9</f>
        <v>12345</v>
      </c>
      <c r="G35" s="1144" t="str">
        <f>G9</f>
        <v>Droit</v>
      </c>
      <c r="H35" s="1275">
        <f>H9</f>
        <v>987</v>
      </c>
      <c r="I35" s="1140"/>
    </row>
    <row r="36" spans="1:11" s="1134" customFormat="1" ht="14.1" customHeight="1" x14ac:dyDescent="0.3">
      <c r="A36" s="1777" t="s">
        <v>293</v>
      </c>
      <c r="B36" s="1778"/>
      <c r="C36" s="1778"/>
      <c r="D36" s="1779"/>
      <c r="E36" s="1772" t="s">
        <v>294</v>
      </c>
      <c r="F36" s="1773"/>
      <c r="G36" s="1772" t="s">
        <v>294</v>
      </c>
      <c r="H36" s="1773"/>
      <c r="I36" s="1140"/>
    </row>
    <row r="37" spans="1:11" s="1134" customFormat="1" ht="14.1" customHeight="1" x14ac:dyDescent="0.3">
      <c r="A37" s="1780"/>
      <c r="B37" s="1781"/>
      <c r="C37" s="1781"/>
      <c r="D37" s="1782"/>
      <c r="E37" s="767" t="s">
        <v>414</v>
      </c>
      <c r="F37" s="1206" t="s">
        <v>413</v>
      </c>
      <c r="G37" s="768" t="s">
        <v>414</v>
      </c>
      <c r="H37" s="1206" t="s">
        <v>413</v>
      </c>
      <c r="I37" s="1140"/>
    </row>
    <row r="38" spans="1:11" s="1134" customFormat="1" ht="14.1" customHeight="1" x14ac:dyDescent="0.3">
      <c r="A38" s="1774" t="s">
        <v>295</v>
      </c>
      <c r="B38" s="1775"/>
      <c r="C38" s="1775"/>
      <c r="D38" s="1776"/>
      <c r="E38" s="1085">
        <v>2.75</v>
      </c>
      <c r="F38" s="1085">
        <v>203</v>
      </c>
      <c r="G38" s="1085">
        <v>2.72</v>
      </c>
      <c r="H38" s="1085">
        <v>151.09</v>
      </c>
      <c r="I38" s="1140"/>
    </row>
    <row r="39" spans="1:11" s="1134" customFormat="1" ht="14.1" customHeight="1" x14ac:dyDescent="0.3">
      <c r="A39" s="1774" t="s">
        <v>296</v>
      </c>
      <c r="B39" s="1775"/>
      <c r="C39" s="1775"/>
      <c r="D39" s="1776"/>
      <c r="E39" s="1085">
        <v>2.71</v>
      </c>
      <c r="F39" s="1085">
        <v>204</v>
      </c>
      <c r="G39" s="1085">
        <v>2.74</v>
      </c>
      <c r="H39" s="1085">
        <v>151.19999999999999</v>
      </c>
      <c r="I39" s="1140"/>
    </row>
    <row r="40" spans="1:11" s="1134" customFormat="1" ht="14.1" customHeight="1" x14ac:dyDescent="0.3">
      <c r="A40" s="1774" t="s">
        <v>297</v>
      </c>
      <c r="B40" s="1775"/>
      <c r="C40" s="1775"/>
      <c r="D40" s="1776"/>
      <c r="E40" s="1085">
        <v>3.16</v>
      </c>
      <c r="F40" s="1085">
        <v>219</v>
      </c>
      <c r="G40" s="1085">
        <v>3.18</v>
      </c>
      <c r="H40" s="1085">
        <v>177.6</v>
      </c>
      <c r="I40" s="1140"/>
    </row>
    <row r="41" spans="1:11" s="1134" customFormat="1" ht="14.1" customHeight="1" x14ac:dyDescent="0.3">
      <c r="A41" s="1774" t="s">
        <v>298</v>
      </c>
      <c r="B41" s="1775"/>
      <c r="C41" s="1775"/>
      <c r="D41" s="1776"/>
      <c r="E41" s="1085">
        <v>2.61</v>
      </c>
      <c r="F41" s="1085">
        <v>195</v>
      </c>
      <c r="G41" s="1085">
        <v>3.22</v>
      </c>
      <c r="H41" s="1085">
        <v>161.56</v>
      </c>
      <c r="I41" s="1140"/>
      <c r="K41" s="1166"/>
    </row>
    <row r="42" spans="1:11" s="1134" customFormat="1" ht="14.1" customHeight="1" x14ac:dyDescent="0.3">
      <c r="A42" s="1774" t="s">
        <v>299</v>
      </c>
      <c r="B42" s="1775"/>
      <c r="C42" s="1775"/>
      <c r="D42" s="1776"/>
      <c r="E42" s="1085">
        <v>2.71</v>
      </c>
      <c r="F42" s="1085">
        <v>210</v>
      </c>
      <c r="G42" s="1085">
        <v>2.75</v>
      </c>
      <c r="H42" s="1085">
        <v>150.84</v>
      </c>
      <c r="I42" s="1140"/>
    </row>
    <row r="43" spans="1:11" s="1134" customFormat="1" ht="14.1" customHeight="1" x14ac:dyDescent="0.3">
      <c r="A43" s="1783" t="s">
        <v>300</v>
      </c>
      <c r="B43" s="1784"/>
      <c r="C43" s="1784"/>
      <c r="D43" s="1785"/>
      <c r="E43" s="1146"/>
      <c r="F43" s="1146"/>
      <c r="G43" s="1146"/>
      <c r="H43" s="1146"/>
      <c r="I43" s="1140"/>
    </row>
    <row r="44" spans="1:11" s="1134" customFormat="1" ht="14.1" customHeight="1" x14ac:dyDescent="0.3">
      <c r="A44" s="1774" t="s">
        <v>296</v>
      </c>
      <c r="B44" s="1775"/>
      <c r="C44" s="1775"/>
      <c r="D44" s="1776"/>
      <c r="E44" s="1147">
        <f t="shared" ref="E44:F44" si="1">IF(E$38="","",ABS(E39-E$38)/E$38)</f>
        <v>1.4545454545454558E-2</v>
      </c>
      <c r="F44" s="1147">
        <f t="shared" si="1"/>
        <v>4.9261083743842365E-3</v>
      </c>
      <c r="G44" s="1147">
        <f t="shared" ref="G44:H44" si="2">IF(G$38="","",ABS(G39-G$38)/G$38)</f>
        <v>7.3529411764705942E-3</v>
      </c>
      <c r="H44" s="1147">
        <f t="shared" si="2"/>
        <v>7.2804288834459735E-4</v>
      </c>
      <c r="I44" s="1140"/>
    </row>
    <row r="45" spans="1:11" s="1134" customFormat="1" ht="14.1" customHeight="1" x14ac:dyDescent="0.3">
      <c r="A45" s="1774" t="s">
        <v>297</v>
      </c>
      <c r="B45" s="1775"/>
      <c r="C45" s="1775"/>
      <c r="D45" s="1776"/>
      <c r="E45" s="1147">
        <f t="shared" ref="E45:F45" si="3">IF(E$38="","",ABS(E40-E$38)/E$38)</f>
        <v>0.14909090909090914</v>
      </c>
      <c r="F45" s="1147">
        <f t="shared" si="3"/>
        <v>7.8817733990147784E-2</v>
      </c>
      <c r="G45" s="1147">
        <f t="shared" ref="G45:H45" si="4">IF(G$38="","",ABS(G40-G$38)/G$38)</f>
        <v>0.16911764705882351</v>
      </c>
      <c r="H45" s="1147">
        <f t="shared" si="4"/>
        <v>0.17545833609107148</v>
      </c>
      <c r="I45" s="1140"/>
    </row>
    <row r="46" spans="1:11" s="1134" customFormat="1" ht="14.1" customHeight="1" x14ac:dyDescent="0.3">
      <c r="A46" s="1774" t="s">
        <v>298</v>
      </c>
      <c r="B46" s="1775"/>
      <c r="C46" s="1775"/>
      <c r="D46" s="1776"/>
      <c r="E46" s="1147">
        <f t="shared" ref="E46:F46" si="5">IF(E$38="","",ABS(E41-E$38)/E$38)</f>
        <v>5.0909090909090952E-2</v>
      </c>
      <c r="F46" s="1147">
        <f t="shared" si="5"/>
        <v>3.9408866995073892E-2</v>
      </c>
      <c r="G46" s="1147">
        <f t="shared" ref="G46:H46" si="6">IF(G$38="","",ABS(G41-G$38)/G$38)</f>
        <v>0.18382352941176469</v>
      </c>
      <c r="H46" s="1147">
        <f t="shared" si="6"/>
        <v>6.929644582699053E-2</v>
      </c>
      <c r="I46" s="1140"/>
    </row>
    <row r="47" spans="1:11" s="1134" customFormat="1" ht="14.1" customHeight="1" x14ac:dyDescent="0.3">
      <c r="A47" s="1774" t="s">
        <v>299</v>
      </c>
      <c r="B47" s="1775"/>
      <c r="C47" s="1775"/>
      <c r="D47" s="1776"/>
      <c r="E47" s="1147">
        <f t="shared" ref="E47:F47" si="7">IF(E$38="","",ABS(E42-E$38)/E$38)</f>
        <v>1.4545454545454558E-2</v>
      </c>
      <c r="F47" s="1147">
        <f t="shared" si="7"/>
        <v>3.4482758620689655E-2</v>
      </c>
      <c r="G47" s="1147">
        <f t="shared" ref="G47:H47" si="8">IF(G$38="","",ABS(G42-G$38)/G$38)</f>
        <v>1.102941176470581E-2</v>
      </c>
      <c r="H47" s="1147">
        <f t="shared" si="8"/>
        <v>1.6546429280561254E-3</v>
      </c>
      <c r="I47" s="1140"/>
    </row>
    <row r="48" spans="1:11" s="1134" customFormat="1" ht="14.1" customHeight="1" x14ac:dyDescent="0.3">
      <c r="A48" s="1774" t="s">
        <v>301</v>
      </c>
      <c r="B48" s="1775"/>
      <c r="C48" s="1775"/>
      <c r="D48" s="1776"/>
      <c r="E48" s="1147">
        <f>IF(E$38="","",MAX(E44:E47))</f>
        <v>0.14909090909090914</v>
      </c>
      <c r="F48" s="1147">
        <f>IF(F$38="","",MAX(F44:F47))</f>
        <v>7.8817733990147784E-2</v>
      </c>
      <c r="G48" s="1147">
        <f>IF(G$38="","",MAX(G44:G47))</f>
        <v>0.18382352941176469</v>
      </c>
      <c r="H48" s="1147">
        <f>IF(H$38="","",MAX(H44:H47))</f>
        <v>0.17545833609107148</v>
      </c>
      <c r="I48" s="1140"/>
    </row>
    <row r="49" spans="1:14" s="1134" customFormat="1" ht="14.1" customHeight="1" x14ac:dyDescent="0.3">
      <c r="A49" s="1163" t="s">
        <v>784</v>
      </c>
      <c r="C49" s="1135"/>
      <c r="D49" s="1135"/>
      <c r="E49" s="1796" t="s">
        <v>15</v>
      </c>
      <c r="F49" s="1797"/>
      <c r="G49" s="1796" t="s">
        <v>15</v>
      </c>
      <c r="H49" s="1797"/>
      <c r="I49" s="1140"/>
      <c r="L49" s="1149"/>
      <c r="N49" s="1133"/>
    </row>
    <row r="50" spans="1:14" s="1134" customFormat="1" ht="14.1" customHeight="1" x14ac:dyDescent="0.3">
      <c r="A50" s="1148" t="s">
        <v>830</v>
      </c>
      <c r="C50" s="1135"/>
      <c r="D50" s="1135"/>
      <c r="E50" s="1206" t="s">
        <v>16</v>
      </c>
      <c r="F50" s="1206" t="s">
        <v>17</v>
      </c>
      <c r="G50" s="1206" t="s">
        <v>16</v>
      </c>
      <c r="H50" s="1206" t="s">
        <v>17</v>
      </c>
      <c r="I50" s="1140"/>
      <c r="N50" s="1133"/>
    </row>
    <row r="51" spans="1:14" s="1134" customFormat="1" ht="14.1" customHeight="1" x14ac:dyDescent="0.3">
      <c r="A51" s="1150" t="s">
        <v>833</v>
      </c>
      <c r="B51" s="1139"/>
      <c r="C51" s="1139"/>
      <c r="D51" s="1151" t="s">
        <v>415</v>
      </c>
      <c r="E51" s="1144" t="str">
        <f>IF(E48="","",IF(AND(E48&lt;=15%,F48&lt;=15%),"X",""))</f>
        <v>X</v>
      </c>
      <c r="F51" s="1144" t="str">
        <f>IF(E48="","",IF(OR(F48&gt;15%,E48&gt;15%),"X",""))</f>
        <v/>
      </c>
      <c r="G51" s="1144" t="str">
        <f>IF(G48="","",IF(AND(G48&lt;=15%,H48&lt;=15%),"X",""))</f>
        <v/>
      </c>
      <c r="H51" s="1144" t="str">
        <f>IF(G48="","",IF(OR(H48&gt;15%,G48&gt;15%),"X",""))</f>
        <v>X</v>
      </c>
      <c r="I51" s="1078"/>
      <c r="N51" s="1133"/>
    </row>
    <row r="52" spans="1:14" s="1134" customFormat="1" ht="14.1" customHeight="1" x14ac:dyDescent="0.3">
      <c r="A52" s="1139"/>
      <c r="B52" s="1139"/>
      <c r="C52" s="1139"/>
      <c r="D52" s="1151"/>
      <c r="I52" s="1078"/>
      <c r="N52" s="1133"/>
    </row>
    <row r="53" spans="1:14" s="1134" customFormat="1" ht="14.1" customHeight="1" x14ac:dyDescent="0.3">
      <c r="B53" s="1139"/>
      <c r="C53" s="1139"/>
      <c r="D53" s="1139"/>
      <c r="I53" s="1140"/>
      <c r="N53" s="1133"/>
    </row>
    <row r="54" spans="1:14" ht="14.1" customHeight="1" x14ac:dyDescent="0.3">
      <c r="A54" s="698" t="s">
        <v>778</v>
      </c>
      <c r="B54" s="698"/>
      <c r="C54" s="698"/>
      <c r="D54" s="1786"/>
      <c r="E54" s="1786"/>
      <c r="F54" s="1786"/>
      <c r="G54" s="1786"/>
      <c r="H54" s="1786"/>
      <c r="I54" s="1132"/>
    </row>
    <row r="55" spans="1:14" ht="14.1" customHeight="1" x14ac:dyDescent="0.3">
      <c r="A55" s="1745"/>
      <c r="B55" s="1745"/>
      <c r="C55" s="1745"/>
      <c r="D55" s="1771"/>
      <c r="E55" s="1771"/>
      <c r="F55" s="1771"/>
      <c r="G55" s="1771"/>
      <c r="H55" s="1771"/>
      <c r="I55" s="1123" t="s">
        <v>490</v>
      </c>
    </row>
    <row r="56" spans="1:14" ht="14.1" customHeight="1" x14ac:dyDescent="0.3">
      <c r="A56" s="1759"/>
      <c r="B56" s="1759"/>
      <c r="C56" s="1759"/>
      <c r="D56" s="1759"/>
      <c r="E56" s="1759"/>
      <c r="F56" s="1759"/>
      <c r="G56" s="1759"/>
      <c r="H56" s="1759"/>
      <c r="I56" s="1083">
        <f>+COUNTIF(H51,"X")+COUNTIF(F22:F33,"X")+COUNTIF(F51,"X")+COUNTIF(H12:H16,"X")+COUNTIF(F12:F16,"X")+COUNTIF(H22:H33,"X")</f>
        <v>2</v>
      </c>
    </row>
    <row r="67" spans="1:8" x14ac:dyDescent="0.3">
      <c r="A67" s="1139"/>
      <c r="B67" s="1139"/>
      <c r="C67" s="1139"/>
      <c r="D67" s="1139"/>
      <c r="F67" s="1152"/>
      <c r="G67" s="1152"/>
      <c r="H67" s="1152"/>
    </row>
  </sheetData>
  <sheetProtection algorithmName="SHA-512" hashValue="8ZjGC5IyC+e8m4Z8rz6UXgimpBlj2TsISGY8KdTPfoYDtgEcyBAwzBSjD5zPDlY5iFRZK+aae+UMlVZ2RleICg==" saltValue="Pb8qsW/0hOW9coW861pAkQ==" spinCount="100000" sheet="1" objects="1" scenarios="1"/>
  <mergeCells count="44">
    <mergeCell ref="A9:D11"/>
    <mergeCell ref="A12:D12"/>
    <mergeCell ref="A13:D13"/>
    <mergeCell ref="A16:C16"/>
    <mergeCell ref="A29:D29"/>
    <mergeCell ref="A21:D21"/>
    <mergeCell ref="A22:D22"/>
    <mergeCell ref="A19:D20"/>
    <mergeCell ref="A24:D24"/>
    <mergeCell ref="A25:D25"/>
    <mergeCell ref="A26:D26"/>
    <mergeCell ref="A27:D27"/>
    <mergeCell ref="A28:D28"/>
    <mergeCell ref="E5:H5"/>
    <mergeCell ref="G49:H49"/>
    <mergeCell ref="E49:F49"/>
    <mergeCell ref="E10:F10"/>
    <mergeCell ref="G10:H10"/>
    <mergeCell ref="E20:F20"/>
    <mergeCell ref="G20:H20"/>
    <mergeCell ref="E6:H6"/>
    <mergeCell ref="A30:D30"/>
    <mergeCell ref="A14:D14"/>
    <mergeCell ref="A15:D15"/>
    <mergeCell ref="A44:D44"/>
    <mergeCell ref="A45:D45"/>
    <mergeCell ref="A31:D31"/>
    <mergeCell ref="A32:D32"/>
    <mergeCell ref="A33:D33"/>
    <mergeCell ref="A55:H55"/>
    <mergeCell ref="A56:H56"/>
    <mergeCell ref="E36:F36"/>
    <mergeCell ref="G36:H36"/>
    <mergeCell ref="A42:D42"/>
    <mergeCell ref="A36:D37"/>
    <mergeCell ref="A38:D38"/>
    <mergeCell ref="A39:D39"/>
    <mergeCell ref="A40:D40"/>
    <mergeCell ref="A41:D41"/>
    <mergeCell ref="A43:D43"/>
    <mergeCell ref="A48:D48"/>
    <mergeCell ref="A46:D46"/>
    <mergeCell ref="A47:D47"/>
    <mergeCell ref="D54:H54"/>
  </mergeCells>
  <conditionalFormatting sqref="E44:H48">
    <cfRule type="cellIs" dxfId="77" priority="1" operator="greaterThan">
      <formula>0.15</formula>
    </cfRule>
  </conditionalFormatting>
  <dataValidations count="4">
    <dataValidation type="list" allowBlank="1" showInputMessage="1" showErrorMessage="1" sqref="E5:H5" xr:uid="{00000000-0002-0000-1100-000000000000}">
      <formula1>$K$2:$K$18</formula1>
    </dataValidation>
    <dataValidation type="list" allowBlank="1" showInputMessage="1" showErrorMessage="1" sqref="E6:H6" xr:uid="{00000000-0002-0000-1100-000001000000}">
      <formula1>$N$5:$N$6</formula1>
    </dataValidation>
    <dataValidation type="list" allowBlank="1" showInputMessage="1" showErrorMessage="1" sqref="E9 G9" xr:uid="{00000000-0002-0000-1100-000002000000}">
      <formula1>$N$12:$N$15</formula1>
    </dataValidation>
    <dataValidation type="list" allowBlank="1" showInputMessage="1" showErrorMessage="1" sqref="F9 H9" xr:uid="{00000000-0002-0000-1100-000003000000}">
      <formula1>$K$21:$K$28</formula1>
    </dataValidation>
  </dataValidations>
  <printOptions horizontalCentered="1"/>
  <pageMargins left="0.70866141732283472" right="0.70866141732283472" top="0.74803149606299213" bottom="0.74803149606299213" header="0.31496062992125984" footer="0.31496062992125984"/>
  <pageSetup paperSize="120" scale="79" firstPageNumber="11" orientation="portrait" r:id="rId1"/>
  <headerFooter>
    <oddFooter>&amp;CPage &amp;P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tabColor theme="5" tint="-0.249977111117893"/>
    <pageSetUpPr fitToPage="1"/>
  </sheetPr>
  <dimension ref="A1:AN59"/>
  <sheetViews>
    <sheetView topLeftCell="A26" zoomScaleNormal="100" workbookViewId="0">
      <selection activeCell="H47" sqref="H47"/>
    </sheetView>
  </sheetViews>
  <sheetFormatPr baseColWidth="10" defaultColWidth="10.6640625" defaultRowHeight="14.4" x14ac:dyDescent="0.3"/>
  <cols>
    <col min="1" max="2" width="10.6640625" style="1075"/>
    <col min="3" max="3" width="5.77734375" style="1075" customWidth="1"/>
    <col min="4" max="4" width="13.6640625" style="1075" customWidth="1"/>
    <col min="5" max="7" width="10.6640625" style="1075"/>
    <col min="8" max="8" width="14.33203125" style="1075" customWidth="1"/>
    <col min="9" max="10" width="10.6640625" style="1075"/>
    <col min="11" max="11" width="8.6640625" style="1075" customWidth="1"/>
    <col min="12" max="12" width="26.6640625" style="1075" customWidth="1"/>
    <col min="13" max="13" width="10.6640625" style="1075"/>
    <col min="14" max="14" width="11.33203125" style="1075" bestFit="1" customWidth="1"/>
    <col min="15" max="21" width="10.6640625" style="1075"/>
    <col min="22" max="22" width="5.6640625" style="1075" customWidth="1"/>
    <col min="23" max="16384" width="10.6640625" style="1075"/>
  </cols>
  <sheetData>
    <row r="1" spans="1:40" x14ac:dyDescent="0.3">
      <c r="A1" s="341" t="s">
        <v>753</v>
      </c>
      <c r="B1" s="342"/>
      <c r="C1" s="958"/>
      <c r="D1" s="343" t="str">
        <f>+Info!C10</f>
        <v>Clinique Ste-Mammo</v>
      </c>
      <c r="E1" s="342"/>
      <c r="F1" s="342"/>
      <c r="G1" s="342"/>
      <c r="H1" s="344" t="s">
        <v>755</v>
      </c>
      <c r="I1" s="342"/>
      <c r="J1" s="345" t="str">
        <f>+Info!C37</f>
        <v>20-01-2020</v>
      </c>
      <c r="K1" s="1086"/>
      <c r="L1" s="1075" t="s">
        <v>449</v>
      </c>
      <c r="X1" s="1087" t="s">
        <v>351</v>
      </c>
      <c r="Y1" s="1088">
        <v>-1.3011877000000001</v>
      </c>
      <c r="Z1" s="1087" t="s">
        <v>361</v>
      </c>
      <c r="AA1" s="1088">
        <v>2.874562E-2</v>
      </c>
      <c r="AC1" s="1087"/>
      <c r="AD1" s="1087"/>
      <c r="AE1" s="1087" t="s">
        <v>352</v>
      </c>
      <c r="AF1" s="1089">
        <v>71.498068000000004</v>
      </c>
      <c r="AG1" s="1087" t="s">
        <v>360</v>
      </c>
      <c r="AH1" s="1087">
        <v>0.28175407000000002</v>
      </c>
      <c r="AI1" s="1087" t="s">
        <v>385</v>
      </c>
      <c r="AJ1" s="1087"/>
      <c r="AK1" s="1087"/>
      <c r="AL1" s="1087"/>
      <c r="AM1" s="1087"/>
      <c r="AN1" s="1087"/>
    </row>
    <row r="2" spans="1:40" x14ac:dyDescent="0.3">
      <c r="A2" s="346" t="s">
        <v>754</v>
      </c>
      <c r="B2" s="347"/>
      <c r="C2" s="347"/>
      <c r="D2" s="1202" t="str">
        <f>+Info!C21</f>
        <v>Salle 2, Hirad IV</v>
      </c>
      <c r="E2" s="347"/>
      <c r="F2" s="347"/>
      <c r="G2" s="347"/>
      <c r="H2" s="348" t="s">
        <v>756</v>
      </c>
      <c r="I2" s="347"/>
      <c r="J2" s="349" t="str">
        <f>+Info!C35</f>
        <v>Alexandre Toussaint</v>
      </c>
      <c r="K2" s="1086"/>
      <c r="L2" s="350" t="str">
        <f>Éqpmt!B35</f>
        <v>bureau Dr Xxx (console #3)</v>
      </c>
      <c r="X2" s="1087" t="s">
        <v>353</v>
      </c>
      <c r="Y2" s="1088">
        <v>-2.5840190999999998E-2</v>
      </c>
      <c r="Z2" s="1087" t="s">
        <v>363</v>
      </c>
      <c r="AA2" s="1088">
        <v>-2.5468404E-2</v>
      </c>
      <c r="AC2" s="1087"/>
      <c r="AD2" s="1087"/>
      <c r="AE2" s="1087" t="s">
        <v>354</v>
      </c>
      <c r="AF2" s="1087">
        <v>94.593052999999998</v>
      </c>
      <c r="AG2" s="1087" t="s">
        <v>362</v>
      </c>
      <c r="AH2" s="1087">
        <v>-1.1878455000000001</v>
      </c>
      <c r="AI2" s="1087"/>
      <c r="AJ2" s="1087"/>
      <c r="AK2" s="1090" t="s">
        <v>386</v>
      </c>
      <c r="AL2" s="1087">
        <f>(AH26-AH9)/AF26</f>
        <v>0.15550028793269588</v>
      </c>
      <c r="AM2" s="1087"/>
      <c r="AN2" s="1087"/>
    </row>
    <row r="3" spans="1:40" ht="14.1" customHeight="1" x14ac:dyDescent="0.3">
      <c r="K3" s="1080"/>
      <c r="L3" s="1091" t="str">
        <f>Éqpmt!E35</f>
        <v>bureau Dr Xxx (console #3)</v>
      </c>
      <c r="P3" s="1079" t="s">
        <v>403</v>
      </c>
      <c r="Q3" s="1079"/>
      <c r="X3" s="1087" t="s">
        <v>355</v>
      </c>
      <c r="Y3" s="1088">
        <v>8.0242636000000006E-2</v>
      </c>
      <c r="Z3" s="1087" t="s">
        <v>365</v>
      </c>
      <c r="AA3" s="1088">
        <v>-3.1978977000000001E-3</v>
      </c>
      <c r="AC3" s="1087"/>
      <c r="AD3" s="1087"/>
      <c r="AE3" s="1087" t="s">
        <v>356</v>
      </c>
      <c r="AF3" s="1087">
        <v>41.912053</v>
      </c>
      <c r="AG3" s="1087" t="s">
        <v>364</v>
      </c>
      <c r="AH3" s="1087">
        <v>-0.18014348999999999</v>
      </c>
      <c r="AI3" s="1087"/>
      <c r="AJ3" s="1087"/>
      <c r="AK3" s="1090" t="s">
        <v>387</v>
      </c>
      <c r="AL3" s="1092">
        <f>AH9</f>
        <v>71.498068000000004</v>
      </c>
      <c r="AM3" s="1087"/>
      <c r="AN3" s="1087"/>
    </row>
    <row r="4" spans="1:40" ht="14.1" customHeight="1" x14ac:dyDescent="0.3">
      <c r="A4" s="1093" t="s">
        <v>831</v>
      </c>
      <c r="G4" s="1125" t="s">
        <v>769</v>
      </c>
      <c r="H4" s="1814" t="s">
        <v>588</v>
      </c>
      <c r="I4" s="1815"/>
      <c r="J4" s="1816"/>
      <c r="K4" s="1080"/>
      <c r="L4" s="1091" t="str">
        <f>Éqpmt!B42</f>
        <v>salle 5043</v>
      </c>
      <c r="P4" s="1079" t="s">
        <v>291</v>
      </c>
      <c r="Q4" s="1079" t="s">
        <v>271</v>
      </c>
      <c r="X4" s="1087" t="s">
        <v>357</v>
      </c>
      <c r="Y4" s="1088">
        <v>-0.10320229</v>
      </c>
      <c r="Z4" s="1087" t="s">
        <v>367</v>
      </c>
      <c r="AA4" s="1088">
        <v>1.2992634000000001E-4</v>
      </c>
      <c r="AC4" s="1087"/>
      <c r="AD4" s="1087"/>
      <c r="AE4" s="1087" t="s">
        <v>358</v>
      </c>
      <c r="AF4" s="1087">
        <v>9.8247003999999993</v>
      </c>
      <c r="AG4" s="1087" t="s">
        <v>366</v>
      </c>
      <c r="AH4" s="1087">
        <v>0.14710899</v>
      </c>
      <c r="AI4" s="1087"/>
      <c r="AJ4" s="1087"/>
      <c r="AK4" s="1087"/>
      <c r="AL4" s="1087"/>
      <c r="AM4" s="1087"/>
      <c r="AN4" s="1087"/>
    </row>
    <row r="5" spans="1:40" ht="14.1" customHeight="1" x14ac:dyDescent="0.3">
      <c r="A5" s="1094" t="s">
        <v>302</v>
      </c>
      <c r="H5" s="1822"/>
      <c r="I5" s="1822"/>
      <c r="J5" s="1822"/>
      <c r="K5" s="1080"/>
      <c r="L5" s="1091" t="str">
        <f>Éqpmt!E42</f>
        <v>salle 5043</v>
      </c>
      <c r="P5" s="1079" t="s">
        <v>290</v>
      </c>
      <c r="Q5" s="1079" t="s">
        <v>405</v>
      </c>
      <c r="X5" s="1087" t="s">
        <v>359</v>
      </c>
      <c r="Y5" s="1088">
        <v>0.13646699000000001</v>
      </c>
      <c r="Z5" s="1087" t="s">
        <v>369</v>
      </c>
      <c r="AA5" s="1088">
        <v>1.3635334E-3</v>
      </c>
      <c r="AC5" s="1087"/>
      <c r="AD5" s="1087"/>
      <c r="AG5" s="1087" t="s">
        <v>368</v>
      </c>
      <c r="AH5" s="1087">
        <v>-1.7046845000000001E-2</v>
      </c>
      <c r="AI5" s="1087"/>
      <c r="AJ5" s="1087"/>
      <c r="AK5" s="1087"/>
      <c r="AL5" s="1087"/>
      <c r="AM5" s="1087"/>
      <c r="AN5" s="1087"/>
    </row>
    <row r="6" spans="1:40" ht="14.1" customHeight="1" x14ac:dyDescent="0.3">
      <c r="I6" s="1128" t="s">
        <v>836</v>
      </c>
      <c r="K6" s="1080"/>
      <c r="L6" s="1091" t="str">
        <f>Éqpmt!B49</f>
        <v>bureau Dr Ladouceur</v>
      </c>
      <c r="P6" s="1079" t="s">
        <v>406</v>
      </c>
      <c r="Q6" s="1079"/>
      <c r="Z6" s="1087"/>
      <c r="AC6" s="1087"/>
      <c r="AD6" s="1087"/>
      <c r="AG6" s="1087"/>
      <c r="AH6" s="1087"/>
      <c r="AI6" s="1087"/>
      <c r="AJ6" s="1087"/>
      <c r="AK6" s="1087"/>
      <c r="AL6" s="1087"/>
      <c r="AM6" s="1087"/>
      <c r="AN6" s="1087"/>
    </row>
    <row r="7" spans="1:40" ht="14.1" customHeight="1" x14ac:dyDescent="0.3">
      <c r="A7" s="1817" t="s">
        <v>303</v>
      </c>
      <c r="B7" s="1818"/>
      <c r="C7" s="959"/>
      <c r="D7" s="1823" t="s">
        <v>835</v>
      </c>
      <c r="E7" s="1823"/>
      <c r="F7" s="1823"/>
      <c r="G7" s="1824"/>
      <c r="H7" s="514" t="s">
        <v>291</v>
      </c>
      <c r="I7" s="1124">
        <v>7654</v>
      </c>
      <c r="J7" s="1126" t="s">
        <v>271</v>
      </c>
      <c r="K7" s="1080"/>
      <c r="L7" s="1091" t="str">
        <f>Éqpmt!E49</f>
        <v>bureau Dr Ladouceur</v>
      </c>
      <c r="O7" s="1095"/>
      <c r="P7" s="1079" t="s">
        <v>475</v>
      </c>
      <c r="Q7" s="1095"/>
      <c r="R7" s="1095"/>
      <c r="S7" s="1095"/>
      <c r="X7" s="1087"/>
      <c r="Y7" s="1087"/>
      <c r="Z7" s="1087"/>
      <c r="AA7" s="1087"/>
      <c r="AB7" s="1087"/>
      <c r="AC7" s="1087"/>
      <c r="AD7" s="1087"/>
      <c r="AE7" s="1095" t="s">
        <v>370</v>
      </c>
      <c r="AF7" s="1095"/>
      <c r="AG7" s="1095" t="s">
        <v>371</v>
      </c>
      <c r="AH7" s="1095" t="s">
        <v>372</v>
      </c>
      <c r="AI7" s="1087"/>
      <c r="AJ7" s="1095"/>
      <c r="AK7" s="1095"/>
      <c r="AL7" s="1095"/>
      <c r="AM7" s="1095"/>
      <c r="AN7" s="1095"/>
    </row>
    <row r="8" spans="1:40" ht="14.1" customHeight="1" x14ac:dyDescent="0.3">
      <c r="A8" s="1099" t="s">
        <v>304</v>
      </c>
      <c r="B8" s="1097" t="s">
        <v>409</v>
      </c>
      <c r="C8" s="139" t="s">
        <v>914</v>
      </c>
      <c r="K8" s="1080"/>
      <c r="L8" s="1091" t="str">
        <f>Éqpmt!B57</f>
        <v>technologue</v>
      </c>
      <c r="M8" s="1075" t="str">
        <f>H7</f>
        <v>Droit</v>
      </c>
      <c r="O8" s="1098"/>
      <c r="P8" s="1122"/>
      <c r="Q8" s="1095"/>
      <c r="R8" s="1098"/>
      <c r="S8" s="1098"/>
      <c r="X8" s="1095" t="s">
        <v>374</v>
      </c>
      <c r="Y8" s="1095" t="s">
        <v>375</v>
      </c>
      <c r="Z8" s="1095"/>
      <c r="AA8" s="1095" t="s">
        <v>376</v>
      </c>
      <c r="AB8" s="1095" t="s">
        <v>377</v>
      </c>
      <c r="AC8" s="1095" t="s">
        <v>378</v>
      </c>
      <c r="AD8" s="1087"/>
      <c r="AE8" s="1095" t="s">
        <v>379</v>
      </c>
      <c r="AF8" s="1095" t="s">
        <v>380</v>
      </c>
      <c r="AG8" s="1095" t="s">
        <v>376</v>
      </c>
      <c r="AH8" s="1095" t="s">
        <v>377</v>
      </c>
      <c r="AI8" s="1087"/>
      <c r="AJ8" s="1098"/>
      <c r="AK8" s="1098"/>
      <c r="AL8" s="1095"/>
      <c r="AM8" s="1098"/>
      <c r="AN8" s="1098"/>
    </row>
    <row r="9" spans="1:40" ht="14.1" customHeight="1" x14ac:dyDescent="0.3">
      <c r="A9" s="1129">
        <v>1</v>
      </c>
      <c r="B9" s="1156">
        <v>1</v>
      </c>
      <c r="C9" s="1278"/>
      <c r="K9" s="1320">
        <f>B9+0.2</f>
        <v>1.2</v>
      </c>
      <c r="L9" s="1091" t="str">
        <f>Éqpmt!E57</f>
        <v>appareil</v>
      </c>
      <c r="M9" s="351" t="s">
        <v>407</v>
      </c>
      <c r="N9" s="351" t="s">
        <v>408</v>
      </c>
      <c r="O9" s="352" t="s">
        <v>381</v>
      </c>
      <c r="P9" s="352" t="s">
        <v>382</v>
      </c>
      <c r="Q9" s="351"/>
      <c r="R9" s="352" t="s">
        <v>383</v>
      </c>
      <c r="S9" s="352" t="s">
        <v>384</v>
      </c>
      <c r="T9" s="353" t="s">
        <v>410</v>
      </c>
      <c r="U9" s="354" t="s">
        <v>411</v>
      </c>
      <c r="V9" s="1099"/>
      <c r="X9" s="1092">
        <f>AH9</f>
        <v>71.498068000000004</v>
      </c>
      <c r="Y9" s="1100">
        <f>10^((Y1+Y3*LN(X9)+Y5*LN(X9)^2+AA2*LN(X9)^3+ AA5*LN(X9)^4)/(1+Y2*LN(X9)+Y4*LN(X9)^2+AA1*LN(X9)^3+AA3*LN(X9)^4+AA4*LN(X9)^5))</f>
        <v>1.0000485103406374</v>
      </c>
      <c r="Z9" s="1087"/>
      <c r="AA9" s="1100">
        <f>B9</f>
        <v>1</v>
      </c>
      <c r="AB9" s="1092">
        <f>AF1+AF2*LOG10(AA9)+AF3*LOG10(AA9)^2+AF4*LOG10(AA9)^3+AH1*LOG10(AA9)^4+AH2*LOG(AA9)^5+AH3*LOG10(AA9)^6+AH4*LOG10(AA9)^7+AH5*LOG10(AA9)^8</f>
        <v>71.498068000000004</v>
      </c>
      <c r="AC9" s="1087"/>
      <c r="AD9" s="1087"/>
      <c r="AE9" s="1087">
        <v>1</v>
      </c>
      <c r="AF9" s="1087">
        <v>0</v>
      </c>
      <c r="AG9" s="1100">
        <f>AA9</f>
        <v>1</v>
      </c>
      <c r="AH9" s="1101">
        <f>AB9</f>
        <v>71.498068000000004</v>
      </c>
      <c r="AI9" s="1087"/>
      <c r="AJ9" s="1087"/>
      <c r="AK9" s="1087"/>
      <c r="AL9" s="1087"/>
      <c r="AM9" s="1087"/>
      <c r="AN9" s="1087"/>
    </row>
    <row r="10" spans="1:40" ht="14.1" customHeight="1" x14ac:dyDescent="0.3">
      <c r="A10" s="1129">
        <v>2</v>
      </c>
      <c r="B10" s="1156">
        <v>1.67</v>
      </c>
      <c r="C10" s="1278">
        <f>W10</f>
        <v>-0.32509444046932778</v>
      </c>
      <c r="K10" s="1080"/>
      <c r="L10" s="1102" t="s">
        <v>179</v>
      </c>
      <c r="M10" s="1103">
        <f>AF10</f>
        <v>240</v>
      </c>
      <c r="N10" s="1104">
        <f>AC10</f>
        <v>0.50187265917602997</v>
      </c>
      <c r="O10" s="1105">
        <f t="shared" ref="O10:O26" si="0">Q10*1.2</f>
        <v>0.89234291006587241</v>
      </c>
      <c r="P10" s="1105">
        <f t="shared" ref="P10:P26" si="1">Q10*1.1</f>
        <v>0.8179810008937165</v>
      </c>
      <c r="Q10" s="1106">
        <f>2*($AG10-$AG9)/($AG10+$AG9)</f>
        <v>0.74361909172156038</v>
      </c>
      <c r="R10" s="1105">
        <f t="shared" ref="R10:R26" si="2">Q10*0.9</f>
        <v>0.66925718254940436</v>
      </c>
      <c r="S10" s="1105">
        <f t="shared" ref="S10:S26" si="3">Q10*0.8</f>
        <v>0.59489527337724835</v>
      </c>
      <c r="T10" s="1107">
        <f>IF(AND(N10&lt;=P10,N10&gt;=R10),0,1)</f>
        <v>1</v>
      </c>
      <c r="U10" s="355">
        <f>IF(AND(N10&lt;=O10,N10&gt;=S10),0,1)</f>
        <v>1</v>
      </c>
      <c r="V10" s="1099">
        <f>IF(AND(N10&lt;=P10,N10&gt;=R10),1,0)</f>
        <v>0</v>
      </c>
      <c r="W10" s="1279">
        <f>($N10-$Q10)/$Q10</f>
        <v>-0.32509444046932778</v>
      </c>
      <c r="X10" s="1092">
        <f t="shared" ref="X10:X26" si="4">AH10</f>
        <v>108.81813710384702</v>
      </c>
      <c r="Y10" s="1100">
        <f>10^((Y1+Y3*LN(X10)+Y5*LN(X10)^2+AA2*LN(X10)^3+ AA5*LN(X10)^4)/(1+Y2*LN(X10)+Y4*LN(X10)^2+AA1*LN(X10)^3+AA3*LN(X10)^4+AA4*LN(X10)^5))</f>
        <v>2.1837478376530046</v>
      </c>
      <c r="Z10" s="1087"/>
      <c r="AA10" s="1100">
        <f t="shared" ref="AA10:AA26" si="5">B10</f>
        <v>1.67</v>
      </c>
      <c r="AB10" s="1092"/>
      <c r="AC10" s="1092">
        <f>(AA10-AA9)*2/(AA10+AA9)</f>
        <v>0.50187265917602997</v>
      </c>
      <c r="AD10" s="1087"/>
      <c r="AE10" s="1087">
        <v>2</v>
      </c>
      <c r="AF10" s="1087">
        <v>240</v>
      </c>
      <c r="AG10" s="1100">
        <f>Y10</f>
        <v>2.1837478376530046</v>
      </c>
      <c r="AH10" s="1092">
        <f>AL2*AF10+AH9</f>
        <v>108.81813710384702</v>
      </c>
      <c r="AI10" s="1087"/>
      <c r="AJ10" s="1092"/>
      <c r="AK10" s="1092"/>
      <c r="AL10" s="1092"/>
      <c r="AM10" s="1092"/>
      <c r="AN10" s="1092"/>
    </row>
    <row r="11" spans="1:40" ht="14.1" customHeight="1" x14ac:dyDescent="0.3">
      <c r="A11" s="1129">
        <v>3</v>
      </c>
      <c r="B11" s="1156">
        <v>3.37</v>
      </c>
      <c r="C11" s="1278">
        <f t="shared" ref="C11:C26" si="6">W11</f>
        <v>0.13793462267653153</v>
      </c>
      <c r="K11" s="1080"/>
      <c r="L11" s="1102" t="s">
        <v>180</v>
      </c>
      <c r="M11" s="1103">
        <f t="shared" ref="M11:M26" si="7">AF11</f>
        <v>480</v>
      </c>
      <c r="N11" s="1104">
        <f t="shared" ref="N11:N26" si="8">AC11</f>
        <v>0.67460317460317465</v>
      </c>
      <c r="O11" s="1105">
        <f t="shared" si="0"/>
        <v>0.71139746817768124</v>
      </c>
      <c r="P11" s="1105">
        <f t="shared" si="1"/>
        <v>0.6521143458295412</v>
      </c>
      <c r="Q11" s="1106">
        <f t="shared" ref="Q11:Q26" si="9">2*($AG11-$AG10)/($AG11+$AG10)</f>
        <v>0.59283122348140105</v>
      </c>
      <c r="R11" s="1105">
        <f t="shared" si="2"/>
        <v>0.53354810113326101</v>
      </c>
      <c r="S11" s="1105">
        <f t="shared" si="3"/>
        <v>0.47426497878512086</v>
      </c>
      <c r="T11" s="1107">
        <f t="shared" ref="T11:T26" si="10">IF(AND(N11&lt;=P11,N11&gt;=R11),0,1)</f>
        <v>1</v>
      </c>
      <c r="U11" s="355">
        <f t="shared" ref="U11:U26" si="11">IF(AND(N11&lt;=O11,N11&gt;=S11),0,1)</f>
        <v>0</v>
      </c>
      <c r="V11" s="1099">
        <f t="shared" ref="V11:V26" si="12">IF(AND(N11&lt;=P11,N11&gt;=R11),1,0)</f>
        <v>0</v>
      </c>
      <c r="W11" s="1279">
        <f t="shared" ref="W11:W26" si="13">($N11-$Q11)/$Q11</f>
        <v>0.13793462267653153</v>
      </c>
      <c r="X11" s="1092">
        <f t="shared" si="4"/>
        <v>146.13820620769403</v>
      </c>
      <c r="Y11" s="1100">
        <f>10^((Y1+Y3*LN(X11)+Y5*LN(X11)^2+AA2*LN(X11)^3+ AA5*LN(X11)^4)/(1+Y2*LN(X11)+Y4*LN(X11)^2+AA1*LN(X11)^3+AA3*LN(X11)^4+AA4*LN(X11)^5))</f>
        <v>4.0237458876006169</v>
      </c>
      <c r="Z11" s="1087"/>
      <c r="AA11" s="1100">
        <f t="shared" si="5"/>
        <v>3.37</v>
      </c>
      <c r="AB11" s="1092"/>
      <c r="AC11" s="1092">
        <f t="shared" ref="AC11:AC26" si="14">(AA11-AA10)*2/(AA11+AA10)</f>
        <v>0.67460317460317465</v>
      </c>
      <c r="AD11" s="1087"/>
      <c r="AE11" s="1087">
        <v>3</v>
      </c>
      <c r="AF11" s="1087">
        <v>480</v>
      </c>
      <c r="AG11" s="1100">
        <f t="shared" ref="AG11:AG25" si="15">Y11</f>
        <v>4.0237458876006169</v>
      </c>
      <c r="AH11" s="1092">
        <f>AL2*AF11+AH9</f>
        <v>146.13820620769403</v>
      </c>
      <c r="AI11" s="1087"/>
      <c r="AJ11" s="1092"/>
      <c r="AK11" s="1092"/>
      <c r="AL11" s="1092"/>
      <c r="AM11" s="1092"/>
      <c r="AN11" s="1092"/>
    </row>
    <row r="12" spans="1:40" ht="14.1" customHeight="1" x14ac:dyDescent="0.3">
      <c r="A12" s="1129">
        <v>4</v>
      </c>
      <c r="B12" s="1156">
        <v>5.97</v>
      </c>
      <c r="C12" s="1278">
        <f t="shared" si="6"/>
        <v>0.11437648482176349</v>
      </c>
      <c r="K12" s="1080"/>
      <c r="L12" s="1102" t="s">
        <v>181</v>
      </c>
      <c r="M12" s="1103">
        <f t="shared" si="7"/>
        <v>720</v>
      </c>
      <c r="N12" s="1104">
        <f t="shared" si="8"/>
        <v>0.55674518201284795</v>
      </c>
      <c r="O12" s="1105">
        <f t="shared" si="0"/>
        <v>0.59952289689805716</v>
      </c>
      <c r="P12" s="1105">
        <f t="shared" si="1"/>
        <v>0.54956265548988581</v>
      </c>
      <c r="Q12" s="1106">
        <f t="shared" si="9"/>
        <v>0.49960241408171435</v>
      </c>
      <c r="R12" s="1105">
        <f t="shared" si="2"/>
        <v>0.44964217267354295</v>
      </c>
      <c r="S12" s="1105">
        <f t="shared" si="3"/>
        <v>0.39968193126537149</v>
      </c>
      <c r="T12" s="1107">
        <f t="shared" si="10"/>
        <v>1</v>
      </c>
      <c r="U12" s="355">
        <f t="shared" si="11"/>
        <v>0</v>
      </c>
      <c r="V12" s="1099">
        <f t="shared" si="12"/>
        <v>0</v>
      </c>
      <c r="W12" s="1279">
        <f t="shared" si="13"/>
        <v>0.11437648482176349</v>
      </c>
      <c r="X12" s="1092">
        <f t="shared" si="4"/>
        <v>183.45827531154106</v>
      </c>
      <c r="Y12" s="1100">
        <f>10^((Y1+Y3*LN(X12)+Y5*LN(X12)^2+AA2*LN(X12)^3+ AA5*LN(X12)^4)/(1+Y2*LN(X12)+Y4*LN(X12)^2+AA1*LN(X12)^3+AA3*LN(X12)^4+AA4*LN(X12)^5))</f>
        <v>6.7033998379451116</v>
      </c>
      <c r="Z12" s="1087"/>
      <c r="AA12" s="1100">
        <f t="shared" si="5"/>
        <v>5.97</v>
      </c>
      <c r="AB12" s="1092"/>
      <c r="AC12" s="1092">
        <f t="shared" si="14"/>
        <v>0.55674518201284795</v>
      </c>
      <c r="AD12" s="1087"/>
      <c r="AE12" s="1087">
        <v>4</v>
      </c>
      <c r="AF12" s="1087">
        <v>720</v>
      </c>
      <c r="AG12" s="1100">
        <f t="shared" si="15"/>
        <v>6.7033998379451116</v>
      </c>
      <c r="AH12" s="1092">
        <f>AL2*AF12+AH9</f>
        <v>183.45827531154106</v>
      </c>
      <c r="AI12" s="1087"/>
      <c r="AJ12" s="1092"/>
      <c r="AK12" s="1092"/>
      <c r="AL12" s="1092"/>
      <c r="AM12" s="1092"/>
      <c r="AN12" s="1092"/>
    </row>
    <row r="13" spans="1:40" ht="14.1" customHeight="1" x14ac:dyDescent="0.3">
      <c r="A13" s="1129">
        <v>5</v>
      </c>
      <c r="B13" s="1156">
        <v>9.42</v>
      </c>
      <c r="C13" s="1278">
        <f t="shared" si="6"/>
        <v>2.5511507855507969E-2</v>
      </c>
      <c r="K13" s="1080"/>
      <c r="L13" s="1102" t="s">
        <v>182</v>
      </c>
      <c r="M13" s="1103">
        <f t="shared" si="7"/>
        <v>960</v>
      </c>
      <c r="N13" s="1104">
        <f t="shared" si="8"/>
        <v>0.44834307992202732</v>
      </c>
      <c r="O13" s="1105">
        <f t="shared" si="0"/>
        <v>0.5246276534053651</v>
      </c>
      <c r="P13" s="1105">
        <f t="shared" si="1"/>
        <v>0.4809086822882514</v>
      </c>
      <c r="Q13" s="1106">
        <f t="shared" si="9"/>
        <v>0.43718971117113758</v>
      </c>
      <c r="R13" s="1105">
        <f t="shared" si="2"/>
        <v>0.39347074005402383</v>
      </c>
      <c r="S13" s="1105">
        <f t="shared" si="3"/>
        <v>0.34975176893691007</v>
      </c>
      <c r="T13" s="1107">
        <f t="shared" si="10"/>
        <v>0</v>
      </c>
      <c r="U13" s="355">
        <f t="shared" si="11"/>
        <v>0</v>
      </c>
      <c r="V13" s="1099">
        <f t="shared" si="12"/>
        <v>1</v>
      </c>
      <c r="W13" s="1279">
        <f t="shared" si="13"/>
        <v>2.5511507855507969E-2</v>
      </c>
      <c r="X13" s="1092">
        <f t="shared" si="4"/>
        <v>220.77834441538806</v>
      </c>
      <c r="Y13" s="1100">
        <f>10^((Y1+Y3*LN(X13)+Y5*LN(X13)^2+AA2*LN(X13)^3+ AA5*LN(X13)^4)/(1+Y2*LN(X13)+Y4*LN(X13)^2+AA1*LN(X13)^3+AA3*LN(X13)^4+AA4*LN(X13)^5))</f>
        <v>10.453896568053086</v>
      </c>
      <c r="Z13" s="1087"/>
      <c r="AA13" s="1100">
        <f t="shared" si="5"/>
        <v>9.42</v>
      </c>
      <c r="AB13" s="1092"/>
      <c r="AC13" s="1092">
        <f t="shared" si="14"/>
        <v>0.44834307992202732</v>
      </c>
      <c r="AD13" s="1087"/>
      <c r="AE13" s="1087">
        <v>5</v>
      </c>
      <c r="AF13" s="1087">
        <v>960</v>
      </c>
      <c r="AG13" s="1100">
        <f t="shared" si="15"/>
        <v>10.453896568053086</v>
      </c>
      <c r="AH13" s="1092">
        <f>AL2*AF13+AH9</f>
        <v>220.77834441538806</v>
      </c>
      <c r="AI13" s="1087"/>
      <c r="AJ13" s="1092"/>
      <c r="AK13" s="1092"/>
      <c r="AL13" s="1092"/>
      <c r="AM13" s="1092"/>
      <c r="AN13" s="1092"/>
    </row>
    <row r="14" spans="1:40" ht="14.1" customHeight="1" x14ac:dyDescent="0.3">
      <c r="A14" s="1129">
        <v>6</v>
      </c>
      <c r="B14" s="1156">
        <v>14.9</v>
      </c>
      <c r="C14" s="1278">
        <f t="shared" si="6"/>
        <v>0.14652849258327127</v>
      </c>
      <c r="K14" s="1080"/>
      <c r="L14" s="1102" t="s">
        <v>183</v>
      </c>
      <c r="M14" s="1103">
        <f t="shared" si="7"/>
        <v>1200</v>
      </c>
      <c r="N14" s="1104">
        <f t="shared" si="8"/>
        <v>0.45065789473684215</v>
      </c>
      <c r="O14" s="1105">
        <f t="shared" si="0"/>
        <v>0.4716755642642117</v>
      </c>
      <c r="P14" s="1105">
        <f t="shared" si="1"/>
        <v>0.4323692672421941</v>
      </c>
      <c r="Q14" s="1106">
        <f t="shared" si="9"/>
        <v>0.39306297022017644</v>
      </c>
      <c r="R14" s="1105">
        <f t="shared" si="2"/>
        <v>0.35375667319815879</v>
      </c>
      <c r="S14" s="1105">
        <f t="shared" si="3"/>
        <v>0.31445037617614119</v>
      </c>
      <c r="T14" s="1107">
        <f t="shared" si="10"/>
        <v>1</v>
      </c>
      <c r="U14" s="355">
        <f t="shared" si="11"/>
        <v>0</v>
      </c>
      <c r="V14" s="1099">
        <f t="shared" si="12"/>
        <v>0</v>
      </c>
      <c r="W14" s="1279">
        <f t="shared" si="13"/>
        <v>0.14652849258327127</v>
      </c>
      <c r="X14" s="1092">
        <f t="shared" si="4"/>
        <v>258.09841351923507</v>
      </c>
      <c r="Y14" s="1100">
        <f>10^((Y1+Y3*LN(X14)+Y5*LN(X14)^2+AA2*LN(X14)^3+ AA5*LN(X14)^4)/(1+Y2*LN(X14)+Y4*LN(X14)^2+AA1*LN(X14)^3+AA3*LN(X14)^4+AA4*LN(X14)^5))</f>
        <v>15.568023082365174</v>
      </c>
      <c r="Z14" s="1087"/>
      <c r="AA14" s="1100">
        <f t="shared" si="5"/>
        <v>14.9</v>
      </c>
      <c r="AB14" s="1092"/>
      <c r="AC14" s="1092">
        <f t="shared" si="14"/>
        <v>0.45065789473684215</v>
      </c>
      <c r="AD14" s="1087"/>
      <c r="AE14" s="1087">
        <v>6</v>
      </c>
      <c r="AF14" s="1087">
        <v>1200</v>
      </c>
      <c r="AG14" s="1100">
        <f t="shared" si="15"/>
        <v>15.568023082365174</v>
      </c>
      <c r="AH14" s="1092">
        <f>AL2*AF14+AH9</f>
        <v>258.09841351923507</v>
      </c>
      <c r="AI14" s="1087"/>
      <c r="AJ14" s="1092"/>
      <c r="AK14" s="1092"/>
      <c r="AL14" s="1092"/>
      <c r="AM14" s="1092"/>
      <c r="AN14" s="1092"/>
    </row>
    <row r="15" spans="1:40" ht="14.1" customHeight="1" x14ac:dyDescent="0.3">
      <c r="A15" s="1129">
        <v>7</v>
      </c>
      <c r="B15" s="1156">
        <v>22</v>
      </c>
      <c r="C15" s="1278">
        <f t="shared" si="6"/>
        <v>6.714936833918457E-2</v>
      </c>
      <c r="K15" s="1080"/>
      <c r="L15" s="1102" t="s">
        <v>184</v>
      </c>
      <c r="M15" s="1103">
        <f t="shared" si="7"/>
        <v>1440</v>
      </c>
      <c r="N15" s="1104">
        <f t="shared" si="8"/>
        <v>0.38482384823848237</v>
      </c>
      <c r="O15" s="1105">
        <f t="shared" si="0"/>
        <v>0.43273100428749273</v>
      </c>
      <c r="P15" s="1105">
        <f t="shared" si="1"/>
        <v>0.39667008726353503</v>
      </c>
      <c r="Q15" s="1106">
        <f t="shared" si="9"/>
        <v>0.36060917023957728</v>
      </c>
      <c r="R15" s="1105">
        <f t="shared" si="2"/>
        <v>0.32454825321561959</v>
      </c>
      <c r="S15" s="1105">
        <f t="shared" si="3"/>
        <v>0.28848733619166184</v>
      </c>
      <c r="T15" s="1107">
        <f t="shared" si="10"/>
        <v>0</v>
      </c>
      <c r="U15" s="355">
        <f t="shared" si="11"/>
        <v>0</v>
      </c>
      <c r="V15" s="1099">
        <f t="shared" si="12"/>
        <v>1</v>
      </c>
      <c r="W15" s="1279">
        <f t="shared" si="13"/>
        <v>6.714936833918457E-2</v>
      </c>
      <c r="X15" s="1092">
        <f t="shared" si="4"/>
        <v>295.41848262308207</v>
      </c>
      <c r="Y15" s="1100">
        <f>10^((Y1+Y3*LN(X15)+Y5*LN(X15)^2+AA2*LN(X15)^3+ AA5*LN(X15)^4)/(1+Y2*LN(X15)+Y4*LN(X15)^2+AA1*LN(X15)^3+AA3*LN(X15)^4+AA4*LN(X15)^5))</f>
        <v>22.416874233768414</v>
      </c>
      <c r="Z15" s="1087"/>
      <c r="AA15" s="1100">
        <f t="shared" si="5"/>
        <v>22</v>
      </c>
      <c r="AB15" s="1092"/>
      <c r="AC15" s="1092">
        <f t="shared" si="14"/>
        <v>0.38482384823848237</v>
      </c>
      <c r="AD15" s="1087"/>
      <c r="AE15" s="1087">
        <v>7</v>
      </c>
      <c r="AF15" s="1087">
        <v>1440</v>
      </c>
      <c r="AG15" s="1100">
        <f t="shared" si="15"/>
        <v>22.416874233768414</v>
      </c>
      <c r="AH15" s="1092">
        <f>AL2*AF15+AH9</f>
        <v>295.41848262308207</v>
      </c>
      <c r="AI15" s="1087"/>
      <c r="AJ15" s="1092"/>
      <c r="AK15" s="1092"/>
      <c r="AL15" s="1092"/>
      <c r="AM15" s="1092"/>
      <c r="AN15" s="1092"/>
    </row>
    <row r="16" spans="1:40" ht="14.1" customHeight="1" x14ac:dyDescent="0.3">
      <c r="A16" s="1129">
        <v>8</v>
      </c>
      <c r="B16" s="1156">
        <v>30</v>
      </c>
      <c r="C16" s="1278">
        <f t="shared" si="6"/>
        <v>-8.4321765144647176E-2</v>
      </c>
      <c r="K16" s="1080"/>
      <c r="L16" s="1102" t="s">
        <v>185</v>
      </c>
      <c r="M16" s="1103">
        <f t="shared" si="7"/>
        <v>1680</v>
      </c>
      <c r="N16" s="1104">
        <f t="shared" si="8"/>
        <v>0.30769230769230771</v>
      </c>
      <c r="O16" s="1105">
        <f t="shared" si="0"/>
        <v>0.40323200353134486</v>
      </c>
      <c r="P16" s="1105">
        <f t="shared" si="1"/>
        <v>0.36962933657039948</v>
      </c>
      <c r="Q16" s="1106">
        <f t="shared" si="9"/>
        <v>0.33602666960945404</v>
      </c>
      <c r="R16" s="1105">
        <f t="shared" si="2"/>
        <v>0.30242400264850866</v>
      </c>
      <c r="S16" s="1105">
        <f t="shared" si="3"/>
        <v>0.26882133568756322</v>
      </c>
      <c r="T16" s="1107">
        <f t="shared" si="10"/>
        <v>0</v>
      </c>
      <c r="U16" s="355">
        <f t="shared" si="11"/>
        <v>0</v>
      </c>
      <c r="V16" s="1099">
        <f t="shared" si="12"/>
        <v>1</v>
      </c>
      <c r="W16" s="1279">
        <f t="shared" si="13"/>
        <v>-8.4321765144647176E-2</v>
      </c>
      <c r="X16" s="1092">
        <f t="shared" si="4"/>
        <v>332.73855172692907</v>
      </c>
      <c r="Y16" s="1100">
        <f>10^((Y1+Y3*LN(X16)+Y5*LN(X16)^2+AA2*LN(X16)^3+ AA5*LN(X16)^4)/(1+Y2*LN(X16)+Y4*LN(X16)^2+AA1*LN(X16)^3+AA3*LN(X16)^4+AA4*LN(X16)^5))</f>
        <v>31.470706352651248</v>
      </c>
      <c r="Z16" s="1087"/>
      <c r="AA16" s="1100">
        <f t="shared" si="5"/>
        <v>30</v>
      </c>
      <c r="AB16" s="1092"/>
      <c r="AC16" s="1092">
        <f t="shared" si="14"/>
        <v>0.30769230769230771</v>
      </c>
      <c r="AD16" s="1087"/>
      <c r="AE16" s="1087">
        <v>8</v>
      </c>
      <c r="AF16" s="1087">
        <v>1680</v>
      </c>
      <c r="AG16" s="1100">
        <f t="shared" si="15"/>
        <v>31.470706352651248</v>
      </c>
      <c r="AH16" s="1092">
        <f>AL2*AF16+AH9</f>
        <v>332.73855172692907</v>
      </c>
      <c r="AI16" s="1087"/>
      <c r="AJ16" s="1092"/>
      <c r="AK16" s="1092"/>
      <c r="AL16" s="1092"/>
      <c r="AM16" s="1092"/>
      <c r="AN16" s="1092"/>
    </row>
    <row r="17" spans="1:40" ht="14.1" customHeight="1" x14ac:dyDescent="0.3">
      <c r="A17" s="1129">
        <v>9</v>
      </c>
      <c r="B17" s="1156">
        <v>44</v>
      </c>
      <c r="C17" s="1278">
        <f t="shared" si="6"/>
        <v>0.19368569634538951</v>
      </c>
      <c r="K17" s="1080"/>
      <c r="L17" s="356" t="s">
        <v>186</v>
      </c>
      <c r="M17" s="1103">
        <f t="shared" si="7"/>
        <v>1920</v>
      </c>
      <c r="N17" s="1104">
        <f t="shared" si="8"/>
        <v>0.3783783783783784</v>
      </c>
      <c r="O17" s="1105">
        <f t="shared" si="0"/>
        <v>0.38037990690865647</v>
      </c>
      <c r="P17" s="1105">
        <f t="shared" si="1"/>
        <v>0.34868158133293514</v>
      </c>
      <c r="Q17" s="1106">
        <f t="shared" si="9"/>
        <v>0.31698325575721376</v>
      </c>
      <c r="R17" s="1105">
        <f t="shared" si="2"/>
        <v>0.28528493018149237</v>
      </c>
      <c r="S17" s="1105">
        <f t="shared" si="3"/>
        <v>0.25358660460577104</v>
      </c>
      <c r="T17" s="1107">
        <f t="shared" si="10"/>
        <v>1</v>
      </c>
      <c r="U17" s="355">
        <f t="shared" si="11"/>
        <v>0</v>
      </c>
      <c r="V17" s="1099">
        <f t="shared" si="12"/>
        <v>0</v>
      </c>
      <c r="W17" s="1279">
        <f t="shared" si="13"/>
        <v>0.19368569634538951</v>
      </c>
      <c r="X17" s="1092">
        <f t="shared" si="4"/>
        <v>370.05862083077608</v>
      </c>
      <c r="Y17" s="1100">
        <f>10^((Y1+Y3*LN(X17)+Y5*LN(X17)^2+AA2*LN(X17)^3+ AA5*LN(X17)^4)/(1+Y2*LN(X17)+Y4*LN(X17)^2+AA1*LN(X17)^3+AA3*LN(X17)^4+AA4*LN(X17)^5))</f>
        <v>43.325237205974197</v>
      </c>
      <c r="Z17" s="1087"/>
      <c r="AA17" s="1100">
        <f t="shared" si="5"/>
        <v>44</v>
      </c>
      <c r="AB17" s="1092"/>
      <c r="AC17" s="1092">
        <f t="shared" si="14"/>
        <v>0.3783783783783784</v>
      </c>
      <c r="AD17" s="1087"/>
      <c r="AE17" s="1087">
        <v>9</v>
      </c>
      <c r="AF17" s="1087">
        <v>1920</v>
      </c>
      <c r="AG17" s="1100">
        <f t="shared" si="15"/>
        <v>43.325237205974197</v>
      </c>
      <c r="AH17" s="1092">
        <f>AL2*AF17+AH9</f>
        <v>370.05862083077608</v>
      </c>
      <c r="AI17" s="1087"/>
      <c r="AJ17" s="1092"/>
      <c r="AK17" s="1092"/>
      <c r="AL17" s="1092"/>
      <c r="AM17" s="1092"/>
      <c r="AN17" s="1092"/>
    </row>
    <row r="18" spans="1:40" ht="14.1" customHeight="1" x14ac:dyDescent="0.3">
      <c r="A18" s="1129">
        <v>10</v>
      </c>
      <c r="B18" s="1156">
        <v>60</v>
      </c>
      <c r="C18" s="1278">
        <f t="shared" si="6"/>
        <v>1.8939310147332061E-2</v>
      </c>
      <c r="K18" s="1080"/>
      <c r="M18" s="1103">
        <f t="shared" si="7"/>
        <v>2160</v>
      </c>
      <c r="N18" s="1104">
        <f t="shared" si="8"/>
        <v>0.30769230769230771</v>
      </c>
      <c r="O18" s="1105">
        <f t="shared" si="0"/>
        <v>0.36236777357954797</v>
      </c>
      <c r="P18" s="1105">
        <f t="shared" si="1"/>
        <v>0.3321704591145857</v>
      </c>
      <c r="Q18" s="1106">
        <f t="shared" si="9"/>
        <v>0.30197314464962333</v>
      </c>
      <c r="R18" s="1105">
        <f t="shared" si="2"/>
        <v>0.271775830184661</v>
      </c>
      <c r="S18" s="1105">
        <f t="shared" si="3"/>
        <v>0.24157851571969868</v>
      </c>
      <c r="T18" s="1107">
        <f t="shared" si="10"/>
        <v>0</v>
      </c>
      <c r="U18" s="355">
        <f t="shared" si="11"/>
        <v>0</v>
      </c>
      <c r="V18" s="1099">
        <f t="shared" si="12"/>
        <v>1</v>
      </c>
      <c r="W18" s="1279">
        <f t="shared" si="13"/>
        <v>1.8939310147332061E-2</v>
      </c>
      <c r="X18" s="1092">
        <f t="shared" si="4"/>
        <v>407.37868993462308</v>
      </c>
      <c r="Y18" s="1100">
        <f>10^((Y1+Y3*LN(X18)+Y5*LN(X18)^2+AA2*LN(X18)^3+ AA5*LN(X18)^4)/(1+Y2*LN(X18)+Y4*LN(X18)^2+AA1*LN(X18)^3+AA3*LN(X18)^4+AA4*LN(X18)^5))</f>
        <v>58.734955939874062</v>
      </c>
      <c r="Z18" s="1087"/>
      <c r="AA18" s="1100">
        <f t="shared" si="5"/>
        <v>60</v>
      </c>
      <c r="AB18" s="1092"/>
      <c r="AC18" s="1092">
        <f t="shared" si="14"/>
        <v>0.30769230769230771</v>
      </c>
      <c r="AD18" s="1087"/>
      <c r="AE18" s="1087">
        <v>10</v>
      </c>
      <c r="AF18" s="1087">
        <v>2160</v>
      </c>
      <c r="AG18" s="1100">
        <f t="shared" si="15"/>
        <v>58.734955939874062</v>
      </c>
      <c r="AH18" s="1092">
        <f>AL2*AF18+AH9</f>
        <v>407.37868993462308</v>
      </c>
      <c r="AI18" s="1087"/>
      <c r="AJ18" s="1092"/>
      <c r="AK18" s="1092"/>
      <c r="AL18" s="1092"/>
      <c r="AM18" s="1092"/>
      <c r="AN18" s="1092"/>
    </row>
    <row r="19" spans="1:40" ht="14.1" customHeight="1" x14ac:dyDescent="0.3">
      <c r="A19" s="1129">
        <v>11</v>
      </c>
      <c r="B19" s="1156">
        <v>75.8</v>
      </c>
      <c r="C19" s="1278">
        <f t="shared" si="6"/>
        <v>-0.19755635017789322</v>
      </c>
      <c r="K19" s="1080"/>
      <c r="M19" s="1103">
        <f t="shared" si="7"/>
        <v>2400</v>
      </c>
      <c r="N19" s="1104">
        <f t="shared" si="8"/>
        <v>0.23269513991163471</v>
      </c>
      <c r="O19" s="1105">
        <f t="shared" si="0"/>
        <v>0.34797978394603146</v>
      </c>
      <c r="P19" s="1105">
        <f t="shared" si="1"/>
        <v>0.31898146861719551</v>
      </c>
      <c r="Q19" s="1106">
        <f t="shared" si="9"/>
        <v>0.28998315328835955</v>
      </c>
      <c r="R19" s="1105">
        <f t="shared" si="2"/>
        <v>0.2609848379595236</v>
      </c>
      <c r="S19" s="1105">
        <f t="shared" si="3"/>
        <v>0.23198652263068764</v>
      </c>
      <c r="T19" s="1107">
        <f t="shared" si="10"/>
        <v>1</v>
      </c>
      <c r="U19" s="355">
        <f t="shared" si="11"/>
        <v>0</v>
      </c>
      <c r="V19" s="1099">
        <f t="shared" si="12"/>
        <v>0</v>
      </c>
      <c r="W19" s="1279">
        <f t="shared" si="13"/>
        <v>-0.19755635017789322</v>
      </c>
      <c r="X19" s="1092">
        <f t="shared" si="4"/>
        <v>444.69875903847009</v>
      </c>
      <c r="Y19" s="1100">
        <f>10^((Y1+Y3*LN(X19)+Y5*LN(X19)^2+AA2*LN(X19)^3+ AA5*LN(X19)^4)/(1+Y2*LN(X19)+Y4*LN(X19)^2+AA1*LN(X19)^3+AA3*LN(X19)^4+AA4*LN(X19)^5))</f>
        <v>78.655400307951879</v>
      </c>
      <c r="Z19" s="1087"/>
      <c r="AA19" s="1100">
        <f t="shared" si="5"/>
        <v>75.8</v>
      </c>
      <c r="AB19" s="1092"/>
      <c r="AC19" s="1092">
        <f t="shared" si="14"/>
        <v>0.23269513991163471</v>
      </c>
      <c r="AD19" s="1087"/>
      <c r="AE19" s="1087">
        <v>11</v>
      </c>
      <c r="AF19" s="1087">
        <v>2400</v>
      </c>
      <c r="AG19" s="1100">
        <f t="shared" si="15"/>
        <v>78.655400307951879</v>
      </c>
      <c r="AH19" s="1092">
        <f>AL2*AF19+AH9</f>
        <v>444.69875903847009</v>
      </c>
      <c r="AI19" s="1087"/>
      <c r="AJ19" s="1092"/>
      <c r="AK19" s="1092"/>
      <c r="AL19" s="1092"/>
      <c r="AM19" s="1092"/>
      <c r="AN19" s="1092"/>
    </row>
    <row r="20" spans="1:40" ht="14.1" customHeight="1" x14ac:dyDescent="0.3">
      <c r="A20" s="1129">
        <v>12</v>
      </c>
      <c r="B20" s="1156">
        <v>101</v>
      </c>
      <c r="C20" s="1278">
        <f t="shared" si="6"/>
        <v>1.6981172158259106E-2</v>
      </c>
      <c r="K20" s="1080"/>
      <c r="M20" s="1103">
        <f t="shared" si="7"/>
        <v>2640</v>
      </c>
      <c r="N20" s="1104">
        <f t="shared" si="8"/>
        <v>0.28506787330316741</v>
      </c>
      <c r="O20" s="1105">
        <f t="shared" si="0"/>
        <v>0.33636949958260126</v>
      </c>
      <c r="P20" s="1105">
        <f t="shared" si="1"/>
        <v>0.30833870795071788</v>
      </c>
      <c r="Q20" s="1106">
        <f t="shared" si="9"/>
        <v>0.28030791631883439</v>
      </c>
      <c r="R20" s="1105">
        <f t="shared" si="2"/>
        <v>0.25227712468695096</v>
      </c>
      <c r="S20" s="1105">
        <f t="shared" si="3"/>
        <v>0.22424633305506753</v>
      </c>
      <c r="T20" s="1107">
        <f t="shared" si="10"/>
        <v>0</v>
      </c>
      <c r="U20" s="355">
        <f t="shared" si="11"/>
        <v>0</v>
      </c>
      <c r="V20" s="1099">
        <f t="shared" si="12"/>
        <v>1</v>
      </c>
      <c r="W20" s="1279">
        <f t="shared" si="13"/>
        <v>1.6981172158259106E-2</v>
      </c>
      <c r="X20" s="1092">
        <f t="shared" si="4"/>
        <v>482.01882814231709</v>
      </c>
      <c r="Y20" s="1100">
        <f>10^((Y1+Y3*LN(X20)+Y5*LN(X20)^2+AA2*LN(X20)^3+ AA5*LN(X20)^4)/(1+Y2*LN(X20)+Y4*LN(X20)^2+AA1*LN(X20)^3+AA3*LN(X20)^4+AA4*LN(X20)^5))</f>
        <v>104.29688761462194</v>
      </c>
      <c r="Z20" s="1087"/>
      <c r="AA20" s="1100">
        <f t="shared" si="5"/>
        <v>101</v>
      </c>
      <c r="AB20" s="1092"/>
      <c r="AC20" s="1092">
        <f t="shared" si="14"/>
        <v>0.28506787330316741</v>
      </c>
      <c r="AD20" s="1087"/>
      <c r="AE20" s="1087">
        <v>12</v>
      </c>
      <c r="AF20" s="1087">
        <v>2640</v>
      </c>
      <c r="AG20" s="1100">
        <f t="shared" si="15"/>
        <v>104.29688761462194</v>
      </c>
      <c r="AH20" s="1092">
        <f>AL2*AF20+AH9</f>
        <v>482.01882814231709</v>
      </c>
      <c r="AI20" s="1087"/>
      <c r="AJ20" s="1092"/>
      <c r="AK20" s="1092"/>
      <c r="AL20" s="1092"/>
      <c r="AM20" s="1092"/>
      <c r="AN20" s="1092"/>
    </row>
    <row r="21" spans="1:40" ht="14.1" customHeight="1" x14ac:dyDescent="0.3">
      <c r="A21" s="1129">
        <v>13</v>
      </c>
      <c r="B21" s="1156">
        <v>133</v>
      </c>
      <c r="C21" s="1278">
        <f t="shared" si="6"/>
        <v>3.8987148945513438E-3</v>
      </c>
      <c r="K21" s="1080"/>
      <c r="M21" s="1103">
        <f t="shared" si="7"/>
        <v>2880</v>
      </c>
      <c r="N21" s="1104">
        <f t="shared" si="8"/>
        <v>0.27350427350427353</v>
      </c>
      <c r="O21" s="1105">
        <f t="shared" si="0"/>
        <v>0.32693051931997202</v>
      </c>
      <c r="P21" s="1105">
        <f t="shared" si="1"/>
        <v>0.29968630937664109</v>
      </c>
      <c r="Q21" s="1106">
        <f t="shared" si="9"/>
        <v>0.27244209943331005</v>
      </c>
      <c r="R21" s="1105">
        <f t="shared" si="2"/>
        <v>0.24519788948997906</v>
      </c>
      <c r="S21" s="1105">
        <f t="shared" si="3"/>
        <v>0.21795367954664804</v>
      </c>
      <c r="T21" s="1107">
        <f t="shared" si="10"/>
        <v>0</v>
      </c>
      <c r="U21" s="355">
        <f t="shared" si="11"/>
        <v>0</v>
      </c>
      <c r="V21" s="1099">
        <f t="shared" si="12"/>
        <v>1</v>
      </c>
      <c r="W21" s="1279">
        <f t="shared" si="13"/>
        <v>3.8987148945513438E-3</v>
      </c>
      <c r="X21" s="1092">
        <f t="shared" si="4"/>
        <v>519.33889724616415</v>
      </c>
      <c r="Y21" s="1100">
        <f>10^((Y1+Y3*LN(X21)+Y5*LN(X21)^2+AA2*LN(X21)^3+ AA5*LN(X21)^4)/(1+Y2*LN(X21)+Y4*LN(X21)^2+AA1*LN(X21)^3+AA3*LN(X21)^4+AA4*LN(X21)^5))</f>
        <v>137.19287682200732</v>
      </c>
      <c r="Z21" s="1087"/>
      <c r="AA21" s="1100">
        <f t="shared" si="5"/>
        <v>133</v>
      </c>
      <c r="AB21" s="1092"/>
      <c r="AC21" s="1092">
        <f t="shared" si="14"/>
        <v>0.27350427350427353</v>
      </c>
      <c r="AD21" s="1087"/>
      <c r="AE21" s="1087">
        <v>13</v>
      </c>
      <c r="AF21" s="1087">
        <v>2880</v>
      </c>
      <c r="AG21" s="1100">
        <f t="shared" si="15"/>
        <v>137.19287682200732</v>
      </c>
      <c r="AH21" s="1092">
        <f>AL2*AF21+AH9</f>
        <v>519.33889724616415</v>
      </c>
      <c r="AI21" s="1087"/>
      <c r="AJ21" s="1092"/>
      <c r="AK21" s="1092"/>
      <c r="AL21" s="1092"/>
      <c r="AM21" s="1092"/>
      <c r="AN21" s="1092"/>
    </row>
    <row r="22" spans="1:40" ht="14.1" customHeight="1" x14ac:dyDescent="0.3">
      <c r="A22" s="1129">
        <v>14</v>
      </c>
      <c r="B22" s="1156">
        <v>174</v>
      </c>
      <c r="C22" s="1278">
        <f t="shared" si="6"/>
        <v>4.0834542368265768E-3</v>
      </c>
      <c r="K22" s="1080"/>
      <c r="M22" s="1103">
        <f t="shared" si="7"/>
        <v>3120</v>
      </c>
      <c r="N22" s="1104">
        <f t="shared" si="8"/>
        <v>0.26710097719869708</v>
      </c>
      <c r="O22" s="1105">
        <f t="shared" si="0"/>
        <v>0.3192176619243815</v>
      </c>
      <c r="P22" s="1105">
        <f t="shared" si="1"/>
        <v>0.29261619009734974</v>
      </c>
      <c r="Q22" s="1106">
        <f t="shared" si="9"/>
        <v>0.26601471827031792</v>
      </c>
      <c r="R22" s="1105">
        <f t="shared" si="2"/>
        <v>0.23941324644328613</v>
      </c>
      <c r="S22" s="1105">
        <f t="shared" si="3"/>
        <v>0.21281177461625433</v>
      </c>
      <c r="T22" s="1107">
        <f t="shared" si="10"/>
        <v>0</v>
      </c>
      <c r="U22" s="355">
        <f t="shared" si="11"/>
        <v>0</v>
      </c>
      <c r="V22" s="1099">
        <f t="shared" si="12"/>
        <v>1</v>
      </c>
      <c r="W22" s="1279">
        <f t="shared" si="13"/>
        <v>4.0834542368265768E-3</v>
      </c>
      <c r="X22" s="1092">
        <f t="shared" si="4"/>
        <v>556.65896635001116</v>
      </c>
      <c r="Y22" s="1100">
        <f>10^((Y1+Y3*LN(X22)+Y5*LN(X22)^2+AA2*LN(X22)^3+ AA5*LN(X22)^4)/(1+Y2*LN(X22)+Y4*LN(X22)^2+AA1*LN(X22)^3+AA3*LN(X22)^4+AA4*LN(X22)^5))</f>
        <v>179.28703397667007</v>
      </c>
      <c r="Z22" s="1087"/>
      <c r="AA22" s="1100">
        <f t="shared" si="5"/>
        <v>174</v>
      </c>
      <c r="AB22" s="1092"/>
      <c r="AC22" s="1092">
        <f t="shared" si="14"/>
        <v>0.26710097719869708</v>
      </c>
      <c r="AD22" s="1087"/>
      <c r="AE22" s="1087">
        <v>14</v>
      </c>
      <c r="AF22" s="1087">
        <v>3120</v>
      </c>
      <c r="AG22" s="1100">
        <f t="shared" si="15"/>
        <v>179.28703397667007</v>
      </c>
      <c r="AH22" s="1092">
        <f>AL2*AF22+AH9</f>
        <v>556.65896635001116</v>
      </c>
      <c r="AI22" s="1087"/>
      <c r="AJ22" s="1092"/>
      <c r="AK22" s="1092"/>
      <c r="AL22" s="1092"/>
      <c r="AM22" s="1092"/>
      <c r="AN22" s="1092"/>
    </row>
    <row r="23" spans="1:40" ht="14.1" customHeight="1" x14ac:dyDescent="0.3">
      <c r="A23" s="1129">
        <v>15</v>
      </c>
      <c r="B23" s="1156">
        <v>227</v>
      </c>
      <c r="C23" s="1278">
        <f t="shared" si="6"/>
        <v>1.3774031939782598E-2</v>
      </c>
      <c r="F23" s="1819" t="s">
        <v>1028</v>
      </c>
      <c r="G23" s="1819" t="s">
        <v>1029</v>
      </c>
      <c r="H23" s="1819" t="s">
        <v>1102</v>
      </c>
      <c r="I23" s="1820" t="s">
        <v>15</v>
      </c>
      <c r="J23" s="1820"/>
      <c r="K23" s="1080"/>
      <c r="M23" s="1103">
        <f t="shared" si="7"/>
        <v>3360</v>
      </c>
      <c r="N23" s="1104">
        <f t="shared" si="8"/>
        <v>0.26433915211970077</v>
      </c>
      <c r="O23" s="1105">
        <f t="shared" si="0"/>
        <v>0.31289712751537785</v>
      </c>
      <c r="P23" s="1105">
        <f t="shared" si="1"/>
        <v>0.2868223668890964</v>
      </c>
      <c r="Q23" s="1106">
        <f t="shared" si="9"/>
        <v>0.2607476062628149</v>
      </c>
      <c r="R23" s="1105">
        <f t="shared" si="2"/>
        <v>0.23467284563653343</v>
      </c>
      <c r="S23" s="1105">
        <f t="shared" si="3"/>
        <v>0.20859808501025193</v>
      </c>
      <c r="T23" s="1107">
        <f t="shared" si="10"/>
        <v>0</v>
      </c>
      <c r="U23" s="355">
        <f t="shared" si="11"/>
        <v>0</v>
      </c>
      <c r="V23" s="1099">
        <f t="shared" si="12"/>
        <v>1</v>
      </c>
      <c r="W23" s="1279">
        <f t="shared" si="13"/>
        <v>1.3774031939782598E-2</v>
      </c>
      <c r="X23" s="1092">
        <f t="shared" si="4"/>
        <v>593.97903545385816</v>
      </c>
      <c r="Y23" s="1100">
        <f>10^((Y1+Y3*LN(X23)+Y5*LN(X23)^2+AA2*LN(X23)^3+ AA5*LN(X23)^4)/(1+Y2*LN(X23)+Y4*LN(X23)^2+AA1*LN(X23)^3+AA3*LN(X23)^4+AA4*LN(X23)^5))</f>
        <v>233.0442288630619</v>
      </c>
      <c r="Z23" s="1087"/>
      <c r="AA23" s="1100">
        <f t="shared" si="5"/>
        <v>227</v>
      </c>
      <c r="AB23" s="1092"/>
      <c r="AC23" s="1092">
        <f t="shared" si="14"/>
        <v>0.26433915211970077</v>
      </c>
      <c r="AD23" s="1087"/>
      <c r="AE23" s="1087">
        <v>15</v>
      </c>
      <c r="AF23" s="1087">
        <v>3360</v>
      </c>
      <c r="AG23" s="1100">
        <f t="shared" si="15"/>
        <v>233.0442288630619</v>
      </c>
      <c r="AH23" s="1092">
        <f>AL2*AF23+AH9</f>
        <v>593.97903545385816</v>
      </c>
      <c r="AI23" s="1087"/>
      <c r="AJ23" s="1092"/>
      <c r="AK23" s="1092"/>
      <c r="AL23" s="1092"/>
      <c r="AM23" s="1092"/>
      <c r="AN23" s="1092"/>
    </row>
    <row r="24" spans="1:40" ht="14.1" customHeight="1" x14ac:dyDescent="0.3">
      <c r="A24" s="1129">
        <v>16</v>
      </c>
      <c r="B24" s="1156">
        <v>297</v>
      </c>
      <c r="C24" s="1278">
        <f t="shared" si="6"/>
        <v>4.191139167673702E-2</v>
      </c>
      <c r="F24" s="1819"/>
      <c r="G24" s="1819"/>
      <c r="H24" s="1819"/>
      <c r="I24" s="1209" t="s">
        <v>16</v>
      </c>
      <c r="J24" s="1209" t="s">
        <v>17</v>
      </c>
      <c r="K24" s="1080"/>
      <c r="M24" s="1103">
        <f t="shared" si="7"/>
        <v>3600</v>
      </c>
      <c r="N24" s="1104">
        <f t="shared" si="8"/>
        <v>0.26717557251908397</v>
      </c>
      <c r="O24" s="1105">
        <f t="shared" si="0"/>
        <v>0.30771396645058785</v>
      </c>
      <c r="P24" s="1105">
        <f t="shared" si="1"/>
        <v>0.2820711359130389</v>
      </c>
      <c r="Q24" s="1106">
        <f t="shared" si="9"/>
        <v>0.25642830537548988</v>
      </c>
      <c r="R24" s="1105">
        <f t="shared" si="2"/>
        <v>0.2307854748379409</v>
      </c>
      <c r="S24" s="1105">
        <f t="shared" si="3"/>
        <v>0.20514264430039192</v>
      </c>
      <c r="T24" s="1107">
        <f t="shared" si="10"/>
        <v>0</v>
      </c>
      <c r="U24" s="355">
        <f t="shared" si="11"/>
        <v>0</v>
      </c>
      <c r="V24" s="1099">
        <f t="shared" si="12"/>
        <v>1</v>
      </c>
      <c r="W24" s="1279">
        <f t="shared" si="13"/>
        <v>4.191139167673702E-2</v>
      </c>
      <c r="X24" s="1092">
        <f t="shared" si="4"/>
        <v>631.29910455770516</v>
      </c>
      <c r="Y24" s="1100">
        <f>10^((Y1+Y3*LN(X24)+Y5*LN(X24)^2+AA2*LN(X24)^3+ AA5*LN(X24)^4)/(1+Y2*LN(X24)+Y4*LN(X24)^2+AA1*LN(X24)^3+AA3*LN(X24)^4+AA4*LN(X24)^5))</f>
        <v>301.59218346582611</v>
      </c>
      <c r="Z24" s="1087"/>
      <c r="AA24" s="1100">
        <f t="shared" si="5"/>
        <v>297</v>
      </c>
      <c r="AB24" s="1092"/>
      <c r="AC24" s="1092">
        <f t="shared" si="14"/>
        <v>0.26717557251908397</v>
      </c>
      <c r="AD24" s="1087"/>
      <c r="AE24" s="1087">
        <v>16</v>
      </c>
      <c r="AF24" s="1087">
        <v>3600</v>
      </c>
      <c r="AG24" s="1100">
        <f t="shared" si="15"/>
        <v>301.59218346582611</v>
      </c>
      <c r="AH24" s="1092">
        <f>AL2*AF24+AH9</f>
        <v>631.29910455770516</v>
      </c>
      <c r="AI24" s="1087"/>
      <c r="AJ24" s="1092"/>
      <c r="AK24" s="1092"/>
      <c r="AL24" s="1092"/>
      <c r="AM24" s="1092"/>
      <c r="AN24" s="1092"/>
    </row>
    <row r="25" spans="1:40" ht="14.1" customHeight="1" x14ac:dyDescent="0.3">
      <c r="A25" s="1129">
        <v>17</v>
      </c>
      <c r="B25" s="1156">
        <v>384</v>
      </c>
      <c r="C25" s="1278">
        <f t="shared" si="6"/>
        <v>1.0339324728122056E-2</v>
      </c>
      <c r="F25" s="1108">
        <f>B26</f>
        <v>500</v>
      </c>
      <c r="G25" s="1108">
        <f>MIN(B9:B26)</f>
        <v>1</v>
      </c>
      <c r="H25" s="1109">
        <f>(B26+0.2)/(B9+0.2)</f>
        <v>416.83333333333331</v>
      </c>
      <c r="I25" s="1110" t="str">
        <f>IF($J$7=$Q$4, IF(AND($G25&gt;=1,$F25&gt;=420,$H25&gt;=350,$H25&lt;=450),"X",""),IF(AND($G25&gt;=1,$H25&gt;=250,$F25&gt;=250),"X",""))</f>
        <v>X</v>
      </c>
      <c r="J25" s="1110" t="str">
        <f>IF($J$7=$Q$4, IF(AND($G25&gt;=1,$F25&gt;=420,$H25&gt;=350,$H25&lt;=450),"","X"),IF(AND($G25&gt;=1,$H25&gt;=250,$F25&gt;=250),"","X"))</f>
        <v/>
      </c>
      <c r="K25" s="1078"/>
      <c r="M25" s="1103">
        <f t="shared" si="7"/>
        <v>3840</v>
      </c>
      <c r="N25" s="1104">
        <f t="shared" si="8"/>
        <v>0.25550660792951541</v>
      </c>
      <c r="O25" s="1105">
        <f t="shared" si="0"/>
        <v>0.30347025203431072</v>
      </c>
      <c r="P25" s="1105">
        <f t="shared" si="1"/>
        <v>0.27818106436478485</v>
      </c>
      <c r="Q25" s="1106">
        <f t="shared" si="9"/>
        <v>0.25289187669525892</v>
      </c>
      <c r="R25" s="1105">
        <f t="shared" si="2"/>
        <v>0.22760268902573302</v>
      </c>
      <c r="S25" s="1105">
        <f t="shared" si="3"/>
        <v>0.20231350135620715</v>
      </c>
      <c r="T25" s="1107">
        <f t="shared" si="10"/>
        <v>0</v>
      </c>
      <c r="U25" s="355">
        <f t="shared" si="11"/>
        <v>0</v>
      </c>
      <c r="V25" s="1099">
        <f t="shared" si="12"/>
        <v>1</v>
      </c>
      <c r="W25" s="1279">
        <f t="shared" si="13"/>
        <v>1.0339324728122056E-2</v>
      </c>
      <c r="X25" s="1092">
        <f t="shared" si="4"/>
        <v>668.61917366155217</v>
      </c>
      <c r="Y25" s="1100">
        <f>10^((Y1+Y3*LN(X25)+Y5*LN(X25)^2+AA2*LN(X25)^3+ AA5*LN(X25)^4)/(1+Y2*LN(X25)+Y4*LN(X25)^2+AA1*LN(X25)^3+AA3*LN(X25)^4+AA4*LN(X25)^5))</f>
        <v>388.90242174578412</v>
      </c>
      <c r="Z25" s="1087"/>
      <c r="AA25" s="1100">
        <f t="shared" si="5"/>
        <v>384</v>
      </c>
      <c r="AB25" s="1092"/>
      <c r="AC25" s="1092">
        <f t="shared" si="14"/>
        <v>0.25550660792951541</v>
      </c>
      <c r="AD25" s="1087"/>
      <c r="AE25" s="1087">
        <v>17</v>
      </c>
      <c r="AF25" s="1087">
        <v>3840</v>
      </c>
      <c r="AG25" s="1100">
        <f t="shared" si="15"/>
        <v>388.90242174578412</v>
      </c>
      <c r="AH25" s="1092">
        <f>AL2*AF25+AH9</f>
        <v>668.61917366155217</v>
      </c>
      <c r="AI25" s="1087"/>
      <c r="AJ25" s="1092"/>
      <c r="AK25" s="1092"/>
      <c r="AL25" s="1092"/>
      <c r="AM25" s="1092"/>
      <c r="AN25" s="1092"/>
    </row>
    <row r="26" spans="1:40" ht="14.1" customHeight="1" thickBot="1" x14ac:dyDescent="0.35">
      <c r="A26" s="1129">
        <v>18</v>
      </c>
      <c r="B26" s="1156">
        <v>500</v>
      </c>
      <c r="C26" s="1278">
        <f t="shared" si="6"/>
        <v>4.9917613362187932E-2</v>
      </c>
      <c r="F26" s="1821" t="s">
        <v>837</v>
      </c>
      <c r="G26" s="1821"/>
      <c r="H26" s="1821"/>
      <c r="I26" s="1110" t="str">
        <f>IF($J$7=+$Q$4,IF($T27=0,"X",""),IF($U27=0,"X",""))</f>
        <v/>
      </c>
      <c r="J26" s="1110" t="str">
        <f>IF($J$7=+$Q$4,IF($T27=0,"","X"),IF($U27=0,"","X"))</f>
        <v>X</v>
      </c>
      <c r="K26" s="1078"/>
      <c r="M26" s="1103">
        <f t="shared" si="7"/>
        <v>4080</v>
      </c>
      <c r="N26" s="1104">
        <f t="shared" si="8"/>
        <v>0.26244343891402716</v>
      </c>
      <c r="O26" s="1105">
        <f t="shared" si="0"/>
        <v>0.29995889457298885</v>
      </c>
      <c r="P26" s="1105">
        <f t="shared" si="1"/>
        <v>0.27496232002523979</v>
      </c>
      <c r="Q26" s="1106">
        <f t="shared" si="9"/>
        <v>0.2499657454774907</v>
      </c>
      <c r="R26" s="1105">
        <f t="shared" si="2"/>
        <v>0.22496917092974164</v>
      </c>
      <c r="S26" s="1105">
        <f t="shared" si="3"/>
        <v>0.19997259638199258</v>
      </c>
      <c r="T26" s="1107">
        <f t="shared" si="10"/>
        <v>0</v>
      </c>
      <c r="U26" s="355">
        <f t="shared" si="11"/>
        <v>0</v>
      </c>
      <c r="V26" s="1099">
        <f t="shared" si="12"/>
        <v>1</v>
      </c>
      <c r="W26" s="1279">
        <f t="shared" si="13"/>
        <v>4.9917613362187932E-2</v>
      </c>
      <c r="X26" s="1092">
        <f t="shared" si="4"/>
        <v>705.93924276539917</v>
      </c>
      <c r="Y26" s="1100">
        <f>10^((Y1+Y3*LN(X26)+Y5*LN(X26)^2+AA2*LN(X26)^3+ AA5*LN(X26)^4)/(1+Y2*LN(X26)+Y4*LN(X26)^2+AA1*LN(X26)^3+AA3*LN(X26)^4+AA4*LN(X26)^5))</f>
        <v>500.02166501681347</v>
      </c>
      <c r="Z26" s="1087"/>
      <c r="AA26" s="1100">
        <f t="shared" si="5"/>
        <v>500</v>
      </c>
      <c r="AB26" s="1092">
        <f>AF1+AF2*LOG10(AA26)+AF3*LOG10(AA26)^2+AF4*LOG10(AA26)^3+AH1*LOG10(AA26)^4+AH2*LOG(AA26)^5+AH3*LOG10(AA26)^6+AH4*LOG10(AA26)^7+AH5*LOG10(AA26)^8</f>
        <v>705.93924276539917</v>
      </c>
      <c r="AC26" s="1092">
        <f t="shared" si="14"/>
        <v>0.26244343891402716</v>
      </c>
      <c r="AD26" s="1087"/>
      <c r="AE26" s="1087">
        <v>18</v>
      </c>
      <c r="AF26" s="1087">
        <v>4080</v>
      </c>
      <c r="AG26" s="1100">
        <f>AA26</f>
        <v>500</v>
      </c>
      <c r="AH26" s="1101">
        <f>AB26</f>
        <v>705.93924276539917</v>
      </c>
      <c r="AI26" s="1087"/>
      <c r="AJ26" s="1092"/>
      <c r="AK26" s="1092"/>
      <c r="AL26" s="1092"/>
      <c r="AM26" s="1092"/>
      <c r="AN26" s="1092"/>
    </row>
    <row r="27" spans="1:40" ht="14.1" customHeight="1" x14ac:dyDescent="0.3">
      <c r="K27" s="1080"/>
      <c r="M27" s="357"/>
      <c r="N27" s="358"/>
      <c r="O27" s="358"/>
      <c r="P27" s="358"/>
      <c r="Q27" s="358"/>
      <c r="R27" s="358"/>
      <c r="S27" s="358"/>
      <c r="T27" s="1111">
        <f>SUM(T10:T26)</f>
        <v>6</v>
      </c>
      <c r="U27" s="1112">
        <f>SUM(U10:U26)</f>
        <v>1</v>
      </c>
      <c r="X27" s="1087"/>
      <c r="Y27" s="1100"/>
      <c r="Z27" s="1087"/>
      <c r="AA27" s="1087"/>
      <c r="AB27" s="1092"/>
      <c r="AC27" s="1092"/>
      <c r="AD27" s="1087"/>
      <c r="AE27" s="1087"/>
      <c r="AF27" s="1087"/>
      <c r="AG27" s="1100"/>
      <c r="AH27" s="1101"/>
      <c r="AI27" s="1092"/>
      <c r="AJ27" s="1092"/>
      <c r="AK27" s="1092"/>
      <c r="AL27" s="1087"/>
      <c r="AM27" s="1087"/>
      <c r="AN27" s="1087"/>
    </row>
    <row r="28" spans="1:40" ht="14.1" customHeight="1" thickBot="1" x14ac:dyDescent="0.35">
      <c r="I28" s="1128" t="s">
        <v>836</v>
      </c>
      <c r="K28" s="1080"/>
      <c r="X28" s="1087"/>
      <c r="Y28" s="1100"/>
      <c r="Z28" s="1087"/>
      <c r="AA28" s="1087"/>
      <c r="AB28" s="1092"/>
      <c r="AC28" s="1092"/>
      <c r="AD28" s="1087"/>
      <c r="AE28" s="1087"/>
      <c r="AJ28" s="1092"/>
      <c r="AK28" s="1092"/>
      <c r="AL28" s="1087"/>
      <c r="AM28" s="1087"/>
      <c r="AN28" s="1087"/>
    </row>
    <row r="29" spans="1:40" ht="14.1" customHeight="1" x14ac:dyDescent="0.3">
      <c r="A29" s="1812" t="s">
        <v>303</v>
      </c>
      <c r="B29" s="1813"/>
      <c r="C29" s="959"/>
      <c r="D29" s="1823" t="s">
        <v>835</v>
      </c>
      <c r="E29" s="1823"/>
      <c r="F29" s="1823"/>
      <c r="G29" s="1824"/>
      <c r="H29" s="514" t="s">
        <v>290</v>
      </c>
      <c r="I29" s="1124">
        <v>1234</v>
      </c>
      <c r="J29" s="1126" t="s">
        <v>271</v>
      </c>
      <c r="K29" s="1080"/>
      <c r="X29" s="1087"/>
      <c r="Y29" s="1087"/>
      <c r="Z29" s="1087"/>
      <c r="AA29" s="1087"/>
      <c r="AB29" s="1087"/>
      <c r="AC29" s="1087"/>
      <c r="AD29" s="1087"/>
      <c r="AE29" s="1095" t="s">
        <v>370</v>
      </c>
      <c r="AF29" s="1095"/>
      <c r="AG29" s="1095" t="s">
        <v>371</v>
      </c>
      <c r="AH29" s="1095" t="s">
        <v>372</v>
      </c>
      <c r="AI29" s="1087"/>
      <c r="AJ29" s="1095"/>
      <c r="AK29" s="1095"/>
      <c r="AL29" s="1095"/>
      <c r="AM29" s="1095"/>
      <c r="AN29" s="1095"/>
    </row>
    <row r="30" spans="1:40" ht="14.1" customHeight="1" x14ac:dyDescent="0.3">
      <c r="A30" s="1096" t="s">
        <v>304</v>
      </c>
      <c r="B30" s="1210" t="s">
        <v>409</v>
      </c>
      <c r="C30" s="139" t="s">
        <v>914</v>
      </c>
      <c r="K30" s="1080"/>
      <c r="M30" s="1075" t="str">
        <f>H29</f>
        <v>Gauche</v>
      </c>
      <c r="Q30" s="1075" t="s">
        <v>447</v>
      </c>
      <c r="X30" s="1095" t="s">
        <v>374</v>
      </c>
      <c r="Y30" s="1095" t="s">
        <v>375</v>
      </c>
      <c r="Z30" s="1095"/>
      <c r="AA30" s="1095" t="s">
        <v>376</v>
      </c>
      <c r="AB30" s="1095" t="s">
        <v>377</v>
      </c>
      <c r="AC30" s="1095" t="s">
        <v>378</v>
      </c>
      <c r="AD30" s="1087"/>
      <c r="AE30" s="1095" t="s">
        <v>379</v>
      </c>
      <c r="AF30" s="1095" t="s">
        <v>380</v>
      </c>
      <c r="AG30" s="1095" t="s">
        <v>376</v>
      </c>
      <c r="AH30" s="1095" t="s">
        <v>377</v>
      </c>
      <c r="AI30" s="1087"/>
      <c r="AJ30" s="1098"/>
      <c r="AK30" s="1098"/>
      <c r="AL30" s="1095"/>
      <c r="AM30" s="1098"/>
      <c r="AN30" s="1098"/>
    </row>
    <row r="31" spans="1:40" ht="14.1" customHeight="1" x14ac:dyDescent="0.3">
      <c r="A31" s="1280">
        <v>1</v>
      </c>
      <c r="B31" s="1155">
        <v>0.82</v>
      </c>
      <c r="C31" s="1278"/>
      <c r="K31" s="1080"/>
      <c r="M31" s="359" t="s">
        <v>407</v>
      </c>
      <c r="N31" s="351" t="s">
        <v>408</v>
      </c>
      <c r="O31" s="352" t="s">
        <v>381</v>
      </c>
      <c r="P31" s="352" t="s">
        <v>382</v>
      </c>
      <c r="Q31" s="1113" t="s">
        <v>373</v>
      </c>
      <c r="R31" s="352" t="s">
        <v>383</v>
      </c>
      <c r="S31" s="352" t="s">
        <v>384</v>
      </c>
      <c r="T31" s="353" t="s">
        <v>410</v>
      </c>
      <c r="U31" s="354" t="s">
        <v>411</v>
      </c>
      <c r="X31" s="1092">
        <f>AH31</f>
        <v>63.650513471211895</v>
      </c>
      <c r="Y31" s="1100">
        <f>10^((Y50+Y52*LN(X31)+Y57*LN(X31)^2+AA51*LN(X31)^3+ AA57*LN(X31)^4)/(1+Y51*LN(X31)+Y55*LN(X31)^2+AA50*LN(X31)^3+AA52*LN(X31)^4+AA55*LN(X31)^5))</f>
        <v>0.82028608668471747</v>
      </c>
      <c r="Z31" s="1087"/>
      <c r="AA31" s="1100">
        <f>B31</f>
        <v>0.82</v>
      </c>
      <c r="AB31" s="1092">
        <f>AD50+AD51*LOG10(AA31)+AD52*LOG10(AA31)^2+AD55*LOG10(AA31)^3+AF50*LOG10(AA31)^4+AF51*LOG(AA31)^5+AF52*LOG10(AA31)^6+AF55*LOG10(AA31)^7+AF57*LOG10(AA31)^8</f>
        <v>63.650513471211895</v>
      </c>
      <c r="AC31" s="1087"/>
      <c r="AD31" s="1087"/>
      <c r="AE31" s="1087">
        <v>1</v>
      </c>
      <c r="AF31" s="1087">
        <v>0</v>
      </c>
      <c r="AG31" s="1100">
        <f>AA31</f>
        <v>0.82</v>
      </c>
      <c r="AH31" s="1101">
        <f>AB31</f>
        <v>63.650513471211895</v>
      </c>
      <c r="AI31" s="1087"/>
      <c r="AJ31" s="1087"/>
      <c r="AK31" s="1087"/>
      <c r="AL31" s="1087"/>
      <c r="AM31" s="1087"/>
      <c r="AN31" s="1087"/>
    </row>
    <row r="32" spans="1:40" ht="14.1" customHeight="1" x14ac:dyDescent="0.3">
      <c r="A32" s="1280">
        <v>2</v>
      </c>
      <c r="B32" s="1155">
        <v>1.31</v>
      </c>
      <c r="C32" s="1278">
        <f>W32</f>
        <v>-0.41033734132709454</v>
      </c>
      <c r="K32" s="1080"/>
      <c r="M32" s="1103">
        <f t="shared" ref="M32:M48" si="16">AF32</f>
        <v>240</v>
      </c>
      <c r="N32" s="1104">
        <f t="shared" ref="N32:N48" si="17">AC32</f>
        <v>0.46009389671361517</v>
      </c>
      <c r="O32" s="1105">
        <f t="shared" ref="O32:O48" si="18">Q32*1.2</f>
        <v>0.93631955141762369</v>
      </c>
      <c r="P32" s="1105">
        <f t="shared" ref="P32:P48" si="19">Q32*1.1</f>
        <v>0.85829292213282182</v>
      </c>
      <c r="Q32" s="1114">
        <f t="shared" ref="Q32:Q48" si="20">2*($AG32-$AG31)/($AG32+$AG31)</f>
        <v>0.78026629284801974</v>
      </c>
      <c r="R32" s="1105">
        <f t="shared" ref="R32:R48" si="21">Q32*0.9</f>
        <v>0.70223966356321776</v>
      </c>
      <c r="S32" s="1105">
        <f t="shared" ref="S32:S48" si="22">Q32*0.8</f>
        <v>0.62421303427841579</v>
      </c>
      <c r="T32" s="1107">
        <f>IF(AND(N32&lt;=P32,N32&gt;=R32),0,1)</f>
        <v>1</v>
      </c>
      <c r="U32" s="355">
        <f>IF(AND(N32&lt;=O32,N32&gt;=S32),0,1)</f>
        <v>1</v>
      </c>
      <c r="V32" s="1099">
        <f>IF(AND(N32&lt;=P32,N32&gt;=R32),1,0)</f>
        <v>0</v>
      </c>
      <c r="W32" s="1279">
        <f>($N32-$Q32)/$Q32</f>
        <v>-0.41033734132709454</v>
      </c>
      <c r="X32" s="1092">
        <f t="shared" ref="X32:X48" si="23">AH32</f>
        <v>100.50947697744886</v>
      </c>
      <c r="Y32" s="1100">
        <f>10^((Y50+Y52*LN(X32)+Y57*LN(X32)^2+AA51*LN(X32)^3+ AA57*LN(X32)^4)/(1+Y51*LN(X32)+Y55*LN(X32)^2+AA50*LN(X32)^3+AA52*LN(X32)^4+AA55*LN(X32)^5))</f>
        <v>1.8691115501420734</v>
      </c>
      <c r="Z32" s="1087"/>
      <c r="AA32" s="1100">
        <f t="shared" ref="AA32:AA48" si="24">B32</f>
        <v>1.31</v>
      </c>
      <c r="AB32" s="1092"/>
      <c r="AC32" s="1092">
        <f>(AA32-AA31)*2/(AA32+AA31)</f>
        <v>0.46009389671361517</v>
      </c>
      <c r="AD32" s="1087"/>
      <c r="AE32" s="1087">
        <v>2</v>
      </c>
      <c r="AF32" s="1087">
        <v>240</v>
      </c>
      <c r="AG32" s="1100">
        <f>Y32</f>
        <v>1.8691115501420734</v>
      </c>
      <c r="AH32" s="1092">
        <f>AK51*AF32+AH31</f>
        <v>100.50947697744886</v>
      </c>
      <c r="AI32" s="1087"/>
      <c r="AJ32" s="1092"/>
      <c r="AK32" s="1092"/>
      <c r="AL32" s="1092"/>
      <c r="AM32" s="1092"/>
      <c r="AN32" s="1092"/>
    </row>
    <row r="33" spans="1:40" ht="14.1" customHeight="1" x14ac:dyDescent="0.3">
      <c r="A33" s="1280">
        <v>3</v>
      </c>
      <c r="B33" s="1155">
        <v>2.67</v>
      </c>
      <c r="C33" s="1278">
        <f t="shared" ref="C33:C48" si="25">W33</f>
        <v>0.11388690704032017</v>
      </c>
      <c r="K33" s="1080"/>
      <c r="M33" s="1103">
        <f t="shared" si="16"/>
        <v>480</v>
      </c>
      <c r="N33" s="1104">
        <f t="shared" si="17"/>
        <v>0.68341708542713564</v>
      </c>
      <c r="O33" s="1105">
        <f t="shared" si="18"/>
        <v>0.73625113764163941</v>
      </c>
      <c r="P33" s="1105">
        <f t="shared" si="19"/>
        <v>0.67489687617150285</v>
      </c>
      <c r="Q33" s="1114">
        <f t="shared" si="20"/>
        <v>0.61354261470136617</v>
      </c>
      <c r="R33" s="1105">
        <f t="shared" si="21"/>
        <v>0.55218835323122961</v>
      </c>
      <c r="S33" s="1105">
        <f t="shared" si="22"/>
        <v>0.49083409176109294</v>
      </c>
      <c r="T33" s="1107">
        <f t="shared" ref="T33:T48" si="26">IF(AND(N33&lt;=P33,N33&gt;=R33),0,1)</f>
        <v>1</v>
      </c>
      <c r="U33" s="355">
        <f t="shared" ref="U33:U48" si="27">IF(AND(N33&lt;=O33,N33&gt;=S33),0,1)</f>
        <v>0</v>
      </c>
      <c r="V33" s="1099">
        <f t="shared" ref="V33:V48" si="28">IF(AND(N33&lt;=P33,N33&gt;=R33),1,0)</f>
        <v>0</v>
      </c>
      <c r="W33" s="1279">
        <f t="shared" ref="W33:W48" si="29">($N33-$Q33)/$Q33</f>
        <v>0.11388690704032017</v>
      </c>
      <c r="X33" s="1092">
        <f t="shared" si="23"/>
        <v>137.36844048368579</v>
      </c>
      <c r="Y33" s="1100">
        <f>10^((Y50+Y52*LN(X33)+Y57*LN(X33)^2+AA51*LN(X33)^3+ AA57*LN(X33)^4)/(1+Y51*LN(X33)+Y55*LN(X33)^2+AA50*LN(X33)^3+AA52*LN(X33)^4+AA55*LN(X33)^5))</f>
        <v>3.5233702382238317</v>
      </c>
      <c r="Z33" s="1087"/>
      <c r="AA33" s="1100">
        <f t="shared" si="24"/>
        <v>2.67</v>
      </c>
      <c r="AB33" s="1092"/>
      <c r="AC33" s="1092">
        <f t="shared" ref="AC33:AC48" si="30">(AA33-AA32)*2/(AA33+AA32)</f>
        <v>0.68341708542713564</v>
      </c>
      <c r="AD33" s="1087"/>
      <c r="AE33" s="1087">
        <v>3</v>
      </c>
      <c r="AF33" s="1087">
        <v>480</v>
      </c>
      <c r="AG33" s="1100">
        <f t="shared" ref="AG33:AG47" si="31">Y33</f>
        <v>3.5233702382238317</v>
      </c>
      <c r="AH33" s="1092">
        <f>AK51*AF33+AH31</f>
        <v>137.36844048368579</v>
      </c>
      <c r="AI33" s="1087"/>
      <c r="AJ33" s="1092"/>
      <c r="AK33" s="1092"/>
      <c r="AL33" s="1092"/>
      <c r="AM33" s="1092"/>
      <c r="AN33" s="1092"/>
    </row>
    <row r="34" spans="1:40" ht="14.1" customHeight="1" x14ac:dyDescent="0.3">
      <c r="A34" s="1280">
        <v>4</v>
      </c>
      <c r="B34" s="1155">
        <v>4.7</v>
      </c>
      <c r="C34" s="1278">
        <f t="shared" si="25"/>
        <v>7.5033684329221487E-2</v>
      </c>
      <c r="K34" s="1080"/>
      <c r="M34" s="1103">
        <f t="shared" si="16"/>
        <v>720</v>
      </c>
      <c r="N34" s="1104">
        <f t="shared" si="17"/>
        <v>0.55088195386702854</v>
      </c>
      <c r="O34" s="1105">
        <f t="shared" si="18"/>
        <v>0.61491872699124628</v>
      </c>
      <c r="P34" s="1105">
        <f t="shared" si="19"/>
        <v>0.56367549974197584</v>
      </c>
      <c r="Q34" s="1114">
        <f t="shared" si="20"/>
        <v>0.51243227249270529</v>
      </c>
      <c r="R34" s="1105">
        <f t="shared" si="21"/>
        <v>0.46118904524343479</v>
      </c>
      <c r="S34" s="1105">
        <f t="shared" si="22"/>
        <v>0.40994581799416424</v>
      </c>
      <c r="T34" s="1107">
        <f t="shared" si="26"/>
        <v>0</v>
      </c>
      <c r="U34" s="355">
        <f t="shared" si="27"/>
        <v>0</v>
      </c>
      <c r="V34" s="1099">
        <f t="shared" si="28"/>
        <v>1</v>
      </c>
      <c r="W34" s="1279">
        <f t="shared" si="29"/>
        <v>7.5033684329221487E-2</v>
      </c>
      <c r="X34" s="1092">
        <f t="shared" si="23"/>
        <v>174.22740398992275</v>
      </c>
      <c r="Y34" s="1100">
        <f>10^((Y50+Y52*LN(X34)+Y57*LN(X34)^2+AA51*LN(X34)^3+ AA57*LN(X34)^4)/(1+Y51*LN(X34)+Y55*LN(X34)^2+AA50*LN(X34)^3+AA52*LN(X34)^4+AA55*LN(X34)^5))</f>
        <v>5.950807436033501</v>
      </c>
      <c r="Z34" s="1087"/>
      <c r="AA34" s="1100">
        <f t="shared" si="24"/>
        <v>4.7</v>
      </c>
      <c r="AB34" s="1092"/>
      <c r="AC34" s="1092">
        <f t="shared" si="30"/>
        <v>0.55088195386702854</v>
      </c>
      <c r="AD34" s="1087"/>
      <c r="AE34" s="1087">
        <v>4</v>
      </c>
      <c r="AF34" s="1087">
        <v>720</v>
      </c>
      <c r="AG34" s="1100">
        <f t="shared" si="31"/>
        <v>5.950807436033501</v>
      </c>
      <c r="AH34" s="1092">
        <f>AK51*AF34+AH31</f>
        <v>174.22740398992275</v>
      </c>
      <c r="AI34" s="1087"/>
      <c r="AJ34" s="1092"/>
      <c r="AK34" s="1092"/>
      <c r="AL34" s="1092"/>
      <c r="AM34" s="1092"/>
      <c r="AN34" s="1092"/>
    </row>
    <row r="35" spans="1:40" ht="14.1" customHeight="1" x14ac:dyDescent="0.3">
      <c r="A35" s="1280">
        <v>5</v>
      </c>
      <c r="B35" s="1155">
        <v>7.63</v>
      </c>
      <c r="C35" s="1278">
        <f t="shared" si="25"/>
        <v>6.6760107182426115E-2</v>
      </c>
      <c r="K35" s="1080"/>
      <c r="M35" s="1103">
        <f t="shared" si="16"/>
        <v>960</v>
      </c>
      <c r="N35" s="1104">
        <f t="shared" si="17"/>
        <v>0.4752635847526358</v>
      </c>
      <c r="O35" s="1105">
        <f t="shared" si="18"/>
        <v>0.53462469946453806</v>
      </c>
      <c r="P35" s="1105">
        <f t="shared" si="19"/>
        <v>0.49007264117582661</v>
      </c>
      <c r="Q35" s="1114">
        <f t="shared" si="20"/>
        <v>0.44552058288711505</v>
      </c>
      <c r="R35" s="1105">
        <f t="shared" si="21"/>
        <v>0.40096852459840354</v>
      </c>
      <c r="S35" s="1105">
        <f t="shared" si="22"/>
        <v>0.35641646630969204</v>
      </c>
      <c r="T35" s="1107">
        <f t="shared" si="26"/>
        <v>0</v>
      </c>
      <c r="U35" s="355">
        <f t="shared" si="27"/>
        <v>0</v>
      </c>
      <c r="V35" s="1099">
        <f t="shared" si="28"/>
        <v>1</v>
      </c>
      <c r="W35" s="1279">
        <f t="shared" si="29"/>
        <v>6.6760107182426115E-2</v>
      </c>
      <c r="X35" s="1092">
        <f t="shared" si="23"/>
        <v>211.08636749615971</v>
      </c>
      <c r="Y35" s="1100">
        <f>10^((Y50+Y52*LN(X35)+Y57*LN(X35)^2+AA51*LN(X35)^3+ AA57*LN(X35)^4)/(1+Y51*LN(X35)+Y55*LN(X35)^2+AA50*LN(X35)^3+AA52*LN(X35)^4+AA55*LN(X35)^5))</f>
        <v>9.3618621831908193</v>
      </c>
      <c r="Z35" s="1087"/>
      <c r="AA35" s="1100">
        <f t="shared" si="24"/>
        <v>7.63</v>
      </c>
      <c r="AB35" s="1092"/>
      <c r="AC35" s="1092">
        <f t="shared" si="30"/>
        <v>0.4752635847526358</v>
      </c>
      <c r="AD35" s="1087"/>
      <c r="AE35" s="1087">
        <v>5</v>
      </c>
      <c r="AF35" s="1087">
        <v>960</v>
      </c>
      <c r="AG35" s="1100">
        <f t="shared" si="31"/>
        <v>9.3618621831908193</v>
      </c>
      <c r="AH35" s="1092">
        <f>AK51*AF35+AH31</f>
        <v>211.08636749615971</v>
      </c>
      <c r="AI35" s="1087"/>
      <c r="AJ35" s="1092"/>
      <c r="AK35" s="1092"/>
      <c r="AL35" s="1092"/>
      <c r="AM35" s="1092"/>
      <c r="AN35" s="1092"/>
    </row>
    <row r="36" spans="1:40" ht="14.1" customHeight="1" x14ac:dyDescent="0.3">
      <c r="A36" s="1280">
        <v>6</v>
      </c>
      <c r="B36" s="1155">
        <v>11.6</v>
      </c>
      <c r="C36" s="1278">
        <f t="shared" si="25"/>
        <v>3.5904583865449556E-2</v>
      </c>
      <c r="K36" s="1080"/>
      <c r="M36" s="1103">
        <f t="shared" si="16"/>
        <v>1200</v>
      </c>
      <c r="N36" s="1104">
        <f t="shared" si="17"/>
        <v>0.41289651586063442</v>
      </c>
      <c r="O36" s="1105">
        <f t="shared" si="18"/>
        <v>0.47830256449286751</v>
      </c>
      <c r="P36" s="1105">
        <f t="shared" si="19"/>
        <v>0.43844401745179529</v>
      </c>
      <c r="Q36" s="1114">
        <f t="shared" si="20"/>
        <v>0.39858547041072295</v>
      </c>
      <c r="R36" s="1105">
        <f t="shared" si="21"/>
        <v>0.35872692336965067</v>
      </c>
      <c r="S36" s="1105">
        <f t="shared" si="22"/>
        <v>0.3188683763285784</v>
      </c>
      <c r="T36" s="1107">
        <f t="shared" si="26"/>
        <v>0</v>
      </c>
      <c r="U36" s="355">
        <f t="shared" si="27"/>
        <v>0</v>
      </c>
      <c r="V36" s="1099">
        <f t="shared" si="28"/>
        <v>1</v>
      </c>
      <c r="W36" s="1279">
        <f t="shared" si="29"/>
        <v>3.5904583865449556E-2</v>
      </c>
      <c r="X36" s="1092">
        <f t="shared" si="23"/>
        <v>247.94533100239667</v>
      </c>
      <c r="Y36" s="1100">
        <f>10^((Y50+Y52*LN(X36)+Y57*LN(X36)^2+AA51*LN(X36)^3+ AA57*LN(X36)^4)/(1+Y51*LN(X36)+Y55*LN(X36)^2+AA50*LN(X36)^3+AA52*LN(X36)^4+AA55*LN(X36)^5))</f>
        <v>14.022119940642924</v>
      </c>
      <c r="Z36" s="1087"/>
      <c r="AA36" s="1100">
        <f t="shared" si="24"/>
        <v>11.6</v>
      </c>
      <c r="AB36" s="1092"/>
      <c r="AC36" s="1092">
        <f t="shared" si="30"/>
        <v>0.41289651586063442</v>
      </c>
      <c r="AD36" s="1087"/>
      <c r="AE36" s="1087">
        <v>6</v>
      </c>
      <c r="AF36" s="1087">
        <v>1200</v>
      </c>
      <c r="AG36" s="1100">
        <f t="shared" si="31"/>
        <v>14.022119940642924</v>
      </c>
      <c r="AH36" s="1092">
        <f>AK51*AF36+AH31</f>
        <v>247.94533100239667</v>
      </c>
      <c r="AI36" s="1087"/>
      <c r="AJ36" s="1092"/>
      <c r="AK36" s="1092"/>
      <c r="AL36" s="1092"/>
      <c r="AM36" s="1092"/>
      <c r="AN36" s="1092"/>
    </row>
    <row r="37" spans="1:40" ht="14.1" customHeight="1" x14ac:dyDescent="0.3">
      <c r="A37" s="1280">
        <v>7</v>
      </c>
      <c r="B37" s="1155">
        <v>17</v>
      </c>
      <c r="C37" s="1278">
        <f t="shared" si="25"/>
        <v>3.6689403513942856E-2</v>
      </c>
      <c r="K37" s="1080"/>
      <c r="M37" s="1103">
        <f t="shared" si="16"/>
        <v>1440</v>
      </c>
      <c r="N37" s="1104">
        <f t="shared" si="17"/>
        <v>0.3776223776223776</v>
      </c>
      <c r="O37" s="1105">
        <f t="shared" si="18"/>
        <v>0.43710956397439299</v>
      </c>
      <c r="P37" s="1105">
        <f t="shared" si="19"/>
        <v>0.40068376697652697</v>
      </c>
      <c r="Q37" s="1114">
        <f t="shared" si="20"/>
        <v>0.36425796997866083</v>
      </c>
      <c r="R37" s="1105">
        <f t="shared" si="21"/>
        <v>0.32783217298079476</v>
      </c>
      <c r="S37" s="1105">
        <f t="shared" si="22"/>
        <v>0.29140637598292868</v>
      </c>
      <c r="T37" s="1107">
        <f t="shared" si="26"/>
        <v>0</v>
      </c>
      <c r="U37" s="355">
        <f t="shared" si="27"/>
        <v>0</v>
      </c>
      <c r="V37" s="1099">
        <f t="shared" si="28"/>
        <v>1</v>
      </c>
      <c r="W37" s="1279">
        <f t="shared" si="29"/>
        <v>3.6689403513942856E-2</v>
      </c>
      <c r="X37" s="1092">
        <f t="shared" si="23"/>
        <v>284.80429450863357</v>
      </c>
      <c r="Y37" s="1100">
        <f>10^((Y50+Y52*LN(X37)+Y57*LN(X37)^2+AA51*LN(X37)^3+ AA57*LN(X37)^4)/(1+Y51*LN(X37)+Y55*LN(X37)^2+AA50*LN(X37)^3+AA52*LN(X37)^4+AA55*LN(X37)^5))</f>
        <v>20.267198749688699</v>
      </c>
      <c r="Z37" s="1087"/>
      <c r="AA37" s="1100">
        <f t="shared" si="24"/>
        <v>17</v>
      </c>
      <c r="AB37" s="1092"/>
      <c r="AC37" s="1092">
        <f t="shared" si="30"/>
        <v>0.3776223776223776</v>
      </c>
      <c r="AD37" s="1087"/>
      <c r="AE37" s="1087">
        <v>7</v>
      </c>
      <c r="AF37" s="1087">
        <v>1440</v>
      </c>
      <c r="AG37" s="1100">
        <f t="shared" si="31"/>
        <v>20.267198749688699</v>
      </c>
      <c r="AH37" s="1092">
        <f>AK51*AF37+AH31</f>
        <v>284.80429450863357</v>
      </c>
      <c r="AI37" s="1087"/>
      <c r="AJ37" s="1092"/>
      <c r="AK37" s="1092"/>
      <c r="AL37" s="1092"/>
      <c r="AM37" s="1092"/>
      <c r="AN37" s="1092"/>
    </row>
    <row r="38" spans="1:40" ht="14.1" customHeight="1" x14ac:dyDescent="0.3">
      <c r="A38" s="1280">
        <v>8</v>
      </c>
      <c r="B38" s="1155">
        <v>23</v>
      </c>
      <c r="C38" s="1278">
        <f t="shared" si="25"/>
        <v>-0.11336750764999401</v>
      </c>
      <c r="K38" s="1080"/>
      <c r="M38" s="1103">
        <f t="shared" si="16"/>
        <v>1680</v>
      </c>
      <c r="N38" s="1104">
        <f t="shared" si="17"/>
        <v>0.3</v>
      </c>
      <c r="O38" s="1105">
        <f t="shared" si="18"/>
        <v>0.40603068701647221</v>
      </c>
      <c r="P38" s="1105">
        <f t="shared" si="19"/>
        <v>0.37219479643176623</v>
      </c>
      <c r="Q38" s="1114">
        <f t="shared" si="20"/>
        <v>0.33835890584706019</v>
      </c>
      <c r="R38" s="1105">
        <f t="shared" si="21"/>
        <v>0.3045230152623542</v>
      </c>
      <c r="S38" s="1105">
        <f t="shared" si="22"/>
        <v>0.27068712467764816</v>
      </c>
      <c r="T38" s="1107">
        <f t="shared" si="26"/>
        <v>1</v>
      </c>
      <c r="U38" s="355">
        <f t="shared" si="27"/>
        <v>0</v>
      </c>
      <c r="V38" s="1099">
        <f t="shared" si="28"/>
        <v>0</v>
      </c>
      <c r="W38" s="1279">
        <f t="shared" si="29"/>
        <v>-0.11336750764999401</v>
      </c>
      <c r="X38" s="1092">
        <f t="shared" si="23"/>
        <v>321.66325801487051</v>
      </c>
      <c r="Y38" s="1100">
        <f>10^((Y50+Y52*LN(X38)+Y57*LN(X38)^2+AA51*LN(X38)^3+ AA57*LN(X38)^4)/(1+Y51*LN(X38)+Y55*LN(X38)^2+AA50*LN(X38)^3+AA52*LN(X38)^4+AA55*LN(X38)^5))</f>
        <v>28.521192006909374</v>
      </c>
      <c r="Z38" s="1087"/>
      <c r="AA38" s="1100">
        <f t="shared" si="24"/>
        <v>23</v>
      </c>
      <c r="AB38" s="1092"/>
      <c r="AC38" s="1092">
        <f t="shared" si="30"/>
        <v>0.3</v>
      </c>
      <c r="AD38" s="1087"/>
      <c r="AE38" s="1087">
        <v>8</v>
      </c>
      <c r="AF38" s="1087">
        <v>1680</v>
      </c>
      <c r="AG38" s="1100">
        <f t="shared" si="31"/>
        <v>28.521192006909374</v>
      </c>
      <c r="AH38" s="1092">
        <f>AK51*AF38+AH31</f>
        <v>321.66325801487051</v>
      </c>
      <c r="AI38" s="1087"/>
      <c r="AJ38" s="1092"/>
      <c r="AK38" s="1092"/>
      <c r="AL38" s="1092"/>
      <c r="AM38" s="1092"/>
      <c r="AN38" s="1092"/>
    </row>
    <row r="39" spans="1:40" ht="14.1" customHeight="1" x14ac:dyDescent="0.3">
      <c r="A39" s="1280">
        <v>9</v>
      </c>
      <c r="B39" s="1155">
        <v>33.9</v>
      </c>
      <c r="C39" s="1278">
        <f t="shared" si="25"/>
        <v>0.20347770110282326</v>
      </c>
      <c r="K39" s="1080"/>
      <c r="M39" s="1103">
        <f t="shared" si="16"/>
        <v>1920</v>
      </c>
      <c r="N39" s="1104">
        <f t="shared" si="17"/>
        <v>0.383128295254833</v>
      </c>
      <c r="O39" s="1105">
        <f t="shared" si="18"/>
        <v>0.38202116573036438</v>
      </c>
      <c r="P39" s="1105">
        <f t="shared" si="19"/>
        <v>0.35018606858616741</v>
      </c>
      <c r="Q39" s="1114">
        <f t="shared" si="20"/>
        <v>0.31835097144197033</v>
      </c>
      <c r="R39" s="1105">
        <f t="shared" si="21"/>
        <v>0.28651587429777331</v>
      </c>
      <c r="S39" s="1105">
        <f t="shared" si="22"/>
        <v>0.25468077715357629</v>
      </c>
      <c r="T39" s="1107">
        <f t="shared" si="26"/>
        <v>1</v>
      </c>
      <c r="U39" s="355">
        <f t="shared" si="27"/>
        <v>1</v>
      </c>
      <c r="V39" s="1099">
        <f t="shared" si="28"/>
        <v>0</v>
      </c>
      <c r="W39" s="1279">
        <f t="shared" si="29"/>
        <v>0.20347770110282326</v>
      </c>
      <c r="X39" s="1092">
        <f t="shared" si="23"/>
        <v>358.52222152110755</v>
      </c>
      <c r="Y39" s="1100">
        <f>10^((Y50+Y52*LN(X39)+Y57*LN(X39)^2+AA51*LN(X39)^3+ AA57*LN(X39)^4)/(1+Y51*LN(X39)+Y55*LN(X39)^2+AA50*LN(X39)^3+AA52*LN(X39)^4+AA55*LN(X39)^5))</f>
        <v>39.319817674797051</v>
      </c>
      <c r="Z39" s="1087"/>
      <c r="AA39" s="1100">
        <f t="shared" si="24"/>
        <v>33.9</v>
      </c>
      <c r="AB39" s="1092"/>
      <c r="AC39" s="1092">
        <f t="shared" si="30"/>
        <v>0.383128295254833</v>
      </c>
      <c r="AD39" s="1087"/>
      <c r="AE39" s="1087">
        <v>9</v>
      </c>
      <c r="AF39" s="1087">
        <v>1920</v>
      </c>
      <c r="AG39" s="1100">
        <f t="shared" si="31"/>
        <v>39.319817674797051</v>
      </c>
      <c r="AH39" s="1092">
        <f>AK51*AF39+AH31</f>
        <v>358.52222152110755</v>
      </c>
      <c r="AI39" s="1087"/>
      <c r="AJ39" s="1092"/>
      <c r="AK39" s="1092"/>
      <c r="AL39" s="1092"/>
      <c r="AM39" s="1092"/>
      <c r="AN39" s="1092"/>
    </row>
    <row r="40" spans="1:40" ht="14.1" customHeight="1" x14ac:dyDescent="0.3">
      <c r="A40" s="1280">
        <v>10</v>
      </c>
      <c r="B40" s="1155">
        <v>46.7</v>
      </c>
      <c r="C40" s="1278">
        <f t="shared" si="25"/>
        <v>4.9596853010247445E-2</v>
      </c>
      <c r="K40" s="1080"/>
      <c r="M40" s="1103">
        <f t="shared" si="16"/>
        <v>2160</v>
      </c>
      <c r="N40" s="1104">
        <f t="shared" si="17"/>
        <v>0.31761786600496289</v>
      </c>
      <c r="O40" s="1105">
        <f t="shared" si="18"/>
        <v>0.36313127093782765</v>
      </c>
      <c r="P40" s="1105">
        <f t="shared" si="19"/>
        <v>0.33287033169300873</v>
      </c>
      <c r="Q40" s="1114">
        <f t="shared" si="20"/>
        <v>0.30260939244818974</v>
      </c>
      <c r="R40" s="1105">
        <f t="shared" si="21"/>
        <v>0.27234845320337076</v>
      </c>
      <c r="S40" s="1105">
        <f t="shared" si="22"/>
        <v>0.2420875139585518</v>
      </c>
      <c r="T40" s="1107">
        <f t="shared" si="26"/>
        <v>0</v>
      </c>
      <c r="U40" s="355">
        <f t="shared" si="27"/>
        <v>0</v>
      </c>
      <c r="V40" s="1099">
        <f t="shared" si="28"/>
        <v>1</v>
      </c>
      <c r="W40" s="1279">
        <f t="shared" si="29"/>
        <v>4.9596853010247445E-2</v>
      </c>
      <c r="X40" s="1092">
        <f t="shared" si="23"/>
        <v>395.38118502734449</v>
      </c>
      <c r="Y40" s="1100">
        <f>10^((Y50+Y52*LN(X40)+Y57*LN(X40)^2+AA51*LN(X40)^3+ AA57*LN(X40)^4)/(1+Y51*LN(X40)+Y55*LN(X40)^2+AA50*LN(X40)^3+AA52*LN(X40)^4+AA55*LN(X40)^5))</f>
        <v>53.339626768598393</v>
      </c>
      <c r="Z40" s="1087"/>
      <c r="AA40" s="1100">
        <f t="shared" si="24"/>
        <v>46.7</v>
      </c>
      <c r="AB40" s="1092"/>
      <c r="AC40" s="1092">
        <f t="shared" si="30"/>
        <v>0.31761786600496289</v>
      </c>
      <c r="AD40" s="1087"/>
      <c r="AE40" s="1087">
        <v>10</v>
      </c>
      <c r="AF40" s="1087">
        <v>2160</v>
      </c>
      <c r="AG40" s="1100">
        <f t="shared" si="31"/>
        <v>53.339626768598393</v>
      </c>
      <c r="AH40" s="1092">
        <f>AK51*AF40+AH31</f>
        <v>395.38118502734449</v>
      </c>
      <c r="AI40" s="1087"/>
      <c r="AJ40" s="1092"/>
      <c r="AK40" s="1092"/>
      <c r="AL40" s="1092"/>
      <c r="AM40" s="1092"/>
      <c r="AN40" s="1092"/>
    </row>
    <row r="41" spans="1:40" ht="14.1" customHeight="1" x14ac:dyDescent="0.3">
      <c r="A41" s="1280">
        <v>11</v>
      </c>
      <c r="B41" s="1155">
        <v>63.5</v>
      </c>
      <c r="C41" s="1278">
        <f t="shared" si="25"/>
        <v>5.1205198021977129E-2</v>
      </c>
      <c r="K41" s="1080"/>
      <c r="M41" s="1103">
        <f t="shared" si="16"/>
        <v>2400</v>
      </c>
      <c r="N41" s="1104">
        <f t="shared" si="17"/>
        <v>0.30490018148820319</v>
      </c>
      <c r="O41" s="1105">
        <f t="shared" si="18"/>
        <v>0.34805784681650187</v>
      </c>
      <c r="P41" s="1105">
        <f t="shared" si="19"/>
        <v>0.31905302624846005</v>
      </c>
      <c r="Q41" s="1114">
        <f t="shared" si="20"/>
        <v>0.29004820568041823</v>
      </c>
      <c r="R41" s="1105">
        <f t="shared" si="21"/>
        <v>0.2610433851123764</v>
      </c>
      <c r="S41" s="1105">
        <f t="shared" si="22"/>
        <v>0.23203856454433458</v>
      </c>
      <c r="T41" s="1107">
        <f t="shared" si="26"/>
        <v>0</v>
      </c>
      <c r="U41" s="355">
        <f t="shared" si="27"/>
        <v>0</v>
      </c>
      <c r="V41" s="1099">
        <f t="shared" si="28"/>
        <v>1</v>
      </c>
      <c r="W41" s="1279">
        <f t="shared" si="29"/>
        <v>5.1205198021977129E-2</v>
      </c>
      <c r="X41" s="1092">
        <f t="shared" si="23"/>
        <v>432.24014853358142</v>
      </c>
      <c r="Y41" s="1100">
        <f>10^((Y50+Y52*LN(X41)+Y57*LN(X41)^2+AA51*LN(X41)^3+ AA57*LN(X41)^4)/(1+Y51*LN(X41)+Y55*LN(X41)^2+AA50*LN(X41)^3+AA52*LN(X41)^4+AA55*LN(X41)^5))</f>
        <v>71.434947452245339</v>
      </c>
      <c r="Z41" s="1087"/>
      <c r="AA41" s="1100">
        <f t="shared" si="24"/>
        <v>63.5</v>
      </c>
      <c r="AB41" s="1092"/>
      <c r="AC41" s="1092">
        <f t="shared" si="30"/>
        <v>0.30490018148820319</v>
      </c>
      <c r="AD41" s="1087"/>
      <c r="AE41" s="1087">
        <v>11</v>
      </c>
      <c r="AF41" s="1087">
        <v>2400</v>
      </c>
      <c r="AG41" s="1100">
        <f t="shared" si="31"/>
        <v>71.434947452245339</v>
      </c>
      <c r="AH41" s="1092">
        <f>AK51*AF41+AH31</f>
        <v>432.24014853358142</v>
      </c>
      <c r="AI41" s="1087"/>
      <c r="AJ41" s="1092"/>
      <c r="AK41" s="1092"/>
      <c r="AL41" s="1092"/>
      <c r="AM41" s="1092"/>
      <c r="AN41" s="1092"/>
    </row>
    <row r="42" spans="1:40" ht="14.1" customHeight="1" x14ac:dyDescent="0.3">
      <c r="A42" s="1280">
        <v>12</v>
      </c>
      <c r="B42" s="1155">
        <v>85</v>
      </c>
      <c r="C42" s="1278">
        <f t="shared" si="25"/>
        <v>3.4463008650346745E-2</v>
      </c>
      <c r="E42" s="1115"/>
      <c r="F42" s="1116"/>
      <c r="G42" s="1116"/>
      <c r="K42" s="1080"/>
      <c r="M42" s="1103">
        <f t="shared" si="16"/>
        <v>2640</v>
      </c>
      <c r="N42" s="1104">
        <f t="shared" si="17"/>
        <v>0.28956228956228958</v>
      </c>
      <c r="O42" s="1105">
        <f t="shared" si="18"/>
        <v>0.33589866874804369</v>
      </c>
      <c r="P42" s="1105">
        <f t="shared" si="19"/>
        <v>0.30790711301904011</v>
      </c>
      <c r="Q42" s="1114">
        <f t="shared" si="20"/>
        <v>0.27991555729003642</v>
      </c>
      <c r="R42" s="1105">
        <f t="shared" si="21"/>
        <v>0.25192400156103278</v>
      </c>
      <c r="S42" s="1105">
        <f t="shared" si="22"/>
        <v>0.22393244583202915</v>
      </c>
      <c r="T42" s="1107">
        <f t="shared" si="26"/>
        <v>0</v>
      </c>
      <c r="U42" s="355">
        <f t="shared" si="27"/>
        <v>0</v>
      </c>
      <c r="V42" s="1099">
        <f t="shared" si="28"/>
        <v>1</v>
      </c>
      <c r="W42" s="1279">
        <f t="shared" si="29"/>
        <v>3.4463008650346745E-2</v>
      </c>
      <c r="X42" s="1092">
        <f t="shared" si="23"/>
        <v>469.09911203981835</v>
      </c>
      <c r="Y42" s="1100">
        <f>10^((Y50+Y52*LN(X42)+Y57*LN(X42)^2+AA51*LN(X42)^3+ AA57*LN(X42)^4)/(1+Y51*LN(X42)+Y55*LN(X42)^2+AA50*LN(X42)^3+AA52*LN(X42)^4+AA55*LN(X42)^5))</f>
        <v>94.684681743867387</v>
      </c>
      <c r="Z42" s="1087"/>
      <c r="AA42" s="1100">
        <f t="shared" si="24"/>
        <v>85</v>
      </c>
      <c r="AB42" s="1092"/>
      <c r="AC42" s="1092">
        <f t="shared" si="30"/>
        <v>0.28956228956228958</v>
      </c>
      <c r="AD42" s="1087"/>
      <c r="AE42" s="1087">
        <v>12</v>
      </c>
      <c r="AF42" s="1087">
        <v>2640</v>
      </c>
      <c r="AG42" s="1100">
        <f t="shared" si="31"/>
        <v>94.684681743867387</v>
      </c>
      <c r="AH42" s="1092">
        <f>AK51*AF42+AH31</f>
        <v>469.09911203981835</v>
      </c>
      <c r="AI42" s="1087"/>
      <c r="AJ42" s="1092"/>
      <c r="AK42" s="1092"/>
      <c r="AL42" s="1092"/>
      <c r="AM42" s="1092"/>
      <c r="AN42" s="1092"/>
    </row>
    <row r="43" spans="1:40" ht="14.1" customHeight="1" x14ac:dyDescent="0.3">
      <c r="A43" s="1280">
        <v>13</v>
      </c>
      <c r="B43" s="1155">
        <v>114</v>
      </c>
      <c r="C43" s="1278">
        <f t="shared" si="25"/>
        <v>7.2814721585426748E-2</v>
      </c>
      <c r="E43" s="1115"/>
      <c r="F43" s="1116"/>
      <c r="G43" s="1116"/>
      <c r="K43" s="1080"/>
      <c r="M43" s="1103">
        <f t="shared" si="16"/>
        <v>2880</v>
      </c>
      <c r="N43" s="1104">
        <f t="shared" si="17"/>
        <v>0.29145728643216079</v>
      </c>
      <c r="O43" s="1105">
        <f t="shared" si="18"/>
        <v>0.3260103880768222</v>
      </c>
      <c r="P43" s="1105">
        <f t="shared" si="19"/>
        <v>0.29884285573708708</v>
      </c>
      <c r="Q43" s="1114">
        <f t="shared" si="20"/>
        <v>0.27167532339735184</v>
      </c>
      <c r="R43" s="1105">
        <f t="shared" si="21"/>
        <v>0.24450779105761666</v>
      </c>
      <c r="S43" s="1105">
        <f t="shared" si="22"/>
        <v>0.21734025871788148</v>
      </c>
      <c r="T43" s="1107">
        <f t="shared" si="26"/>
        <v>0</v>
      </c>
      <c r="U43" s="355">
        <f t="shared" si="27"/>
        <v>0</v>
      </c>
      <c r="V43" s="1099">
        <f t="shared" si="28"/>
        <v>1</v>
      </c>
      <c r="W43" s="1279">
        <f t="shared" si="29"/>
        <v>7.2814721585426748E-2</v>
      </c>
      <c r="X43" s="1092">
        <f t="shared" si="23"/>
        <v>505.95807554605528</v>
      </c>
      <c r="Y43" s="1100">
        <f>10^((Y50+Y52*LN(X43)+Y57*LN(X43)^2+AA51*LN(X43)^3+ AA57*LN(X43)^4)/(1+Y51*LN(X43)+Y55*LN(X43)^2+AA50*LN(X43)^3+AA52*LN(X43)^4+AA55*LN(X43)^5))</f>
        <v>124.45164842758672</v>
      </c>
      <c r="Z43" s="1087"/>
      <c r="AA43" s="1100">
        <f t="shared" si="24"/>
        <v>114</v>
      </c>
      <c r="AB43" s="1092"/>
      <c r="AC43" s="1092">
        <f t="shared" si="30"/>
        <v>0.29145728643216079</v>
      </c>
      <c r="AD43" s="1087"/>
      <c r="AE43" s="1087">
        <v>13</v>
      </c>
      <c r="AF43" s="1087">
        <v>2880</v>
      </c>
      <c r="AG43" s="1100">
        <f t="shared" si="31"/>
        <v>124.45164842758672</v>
      </c>
      <c r="AH43" s="1092">
        <f>AK51*AF43+AH31</f>
        <v>505.95807554605528</v>
      </c>
      <c r="AI43" s="1087"/>
      <c r="AJ43" s="1092"/>
      <c r="AK43" s="1092"/>
      <c r="AL43" s="1092"/>
      <c r="AM43" s="1092"/>
      <c r="AN43" s="1092"/>
    </row>
    <row r="44" spans="1:40" ht="14.1" customHeight="1" x14ac:dyDescent="0.3">
      <c r="A44" s="1280">
        <v>14</v>
      </c>
      <c r="B44" s="1155">
        <v>151</v>
      </c>
      <c r="C44" s="1278">
        <f t="shared" si="25"/>
        <v>5.4012357668912887E-2</v>
      </c>
      <c r="K44" s="1080"/>
      <c r="M44" s="1103">
        <f t="shared" si="16"/>
        <v>3120</v>
      </c>
      <c r="N44" s="1104">
        <f t="shared" si="17"/>
        <v>0.27924528301886792</v>
      </c>
      <c r="O44" s="1105">
        <f t="shared" si="18"/>
        <v>0.31792259093028735</v>
      </c>
      <c r="P44" s="1105">
        <f t="shared" si="19"/>
        <v>0.29142904168609673</v>
      </c>
      <c r="Q44" s="1114">
        <f t="shared" si="20"/>
        <v>0.26493549244190612</v>
      </c>
      <c r="R44" s="1105">
        <f t="shared" si="21"/>
        <v>0.2384419431977155</v>
      </c>
      <c r="S44" s="1105">
        <f t="shared" si="22"/>
        <v>0.21194839395352491</v>
      </c>
      <c r="T44" s="1107">
        <f t="shared" si="26"/>
        <v>0</v>
      </c>
      <c r="U44" s="355">
        <f t="shared" si="27"/>
        <v>0</v>
      </c>
      <c r="V44" s="1099">
        <f t="shared" si="28"/>
        <v>1</v>
      </c>
      <c r="W44" s="1279">
        <f t="shared" si="29"/>
        <v>5.4012357668912887E-2</v>
      </c>
      <c r="X44" s="1092">
        <f t="shared" si="23"/>
        <v>542.81703905229233</v>
      </c>
      <c r="Y44" s="1100">
        <f>10^((Y50+Y52*LN(X44)+Y57*LN(X44)^2+AA51*LN(X44)^3+ AA57*LN(X44)^4)/(1+Y51*LN(X44)+Y55*LN(X44)^2+AA50*LN(X44)^3+AA52*LN(X44)^4+AA55*LN(X44)^5))</f>
        <v>162.45791115469825</v>
      </c>
      <c r="Z44" s="1087"/>
      <c r="AA44" s="1100">
        <f t="shared" si="24"/>
        <v>151</v>
      </c>
      <c r="AB44" s="1092"/>
      <c r="AC44" s="1092">
        <f t="shared" si="30"/>
        <v>0.27924528301886792</v>
      </c>
      <c r="AD44" s="1087"/>
      <c r="AE44" s="1087">
        <v>14</v>
      </c>
      <c r="AF44" s="1087">
        <v>3120</v>
      </c>
      <c r="AG44" s="1100">
        <f t="shared" si="31"/>
        <v>162.45791115469825</v>
      </c>
      <c r="AH44" s="1092">
        <f>AK51*AF44+AH31</f>
        <v>542.81703905229233</v>
      </c>
      <c r="AI44" s="1087"/>
      <c r="AJ44" s="1092"/>
      <c r="AK44" s="1092"/>
      <c r="AL44" s="1092"/>
      <c r="AM44" s="1092"/>
      <c r="AN44" s="1092"/>
    </row>
    <row r="45" spans="1:40" ht="14.1" customHeight="1" x14ac:dyDescent="0.3">
      <c r="A45" s="1280">
        <v>15</v>
      </c>
      <c r="B45" s="1155">
        <v>200</v>
      </c>
      <c r="C45" s="1278">
        <f t="shared" si="25"/>
        <v>7.6325686217018907E-2</v>
      </c>
      <c r="E45" s="1127"/>
      <c r="F45" s="1819" t="s">
        <v>1028</v>
      </c>
      <c r="G45" s="1826" t="s">
        <v>1029</v>
      </c>
      <c r="H45" s="1819" t="s">
        <v>1102</v>
      </c>
      <c r="I45" s="1820" t="s">
        <v>15</v>
      </c>
      <c r="J45" s="1820"/>
      <c r="K45" s="1080"/>
      <c r="M45" s="1103">
        <f t="shared" si="16"/>
        <v>3360</v>
      </c>
      <c r="N45" s="1104">
        <f t="shared" si="17"/>
        <v>0.27920227920227919</v>
      </c>
      <c r="O45" s="1105">
        <f t="shared" si="18"/>
        <v>0.31128378643486221</v>
      </c>
      <c r="P45" s="1105">
        <f t="shared" si="19"/>
        <v>0.28534347089862372</v>
      </c>
      <c r="Q45" s="1114">
        <f t="shared" si="20"/>
        <v>0.25940315536238517</v>
      </c>
      <c r="R45" s="1105">
        <f t="shared" si="21"/>
        <v>0.23346283982614666</v>
      </c>
      <c r="S45" s="1105">
        <f t="shared" si="22"/>
        <v>0.20752252428990814</v>
      </c>
      <c r="T45" s="1107">
        <f t="shared" si="26"/>
        <v>0</v>
      </c>
      <c r="U45" s="355">
        <f t="shared" si="27"/>
        <v>0</v>
      </c>
      <c r="V45" s="1099">
        <f t="shared" si="28"/>
        <v>1</v>
      </c>
      <c r="W45" s="1279">
        <f t="shared" si="29"/>
        <v>7.6325686217018907E-2</v>
      </c>
      <c r="X45" s="1092">
        <f t="shared" si="23"/>
        <v>579.67600255852915</v>
      </c>
      <c r="Y45" s="1100">
        <f>10^((Y50+Y52*LN(X45)+Y57*LN(X45)^2+AA51*LN(X45)^3+ AA57*LN(X45)^4)/(1+Y51*LN(X45)+Y55*LN(X45)^2+AA50*LN(X45)^3+AA52*LN(X45)^4+AA55*LN(X45)^5))</f>
        <v>210.88049091168335</v>
      </c>
      <c r="Z45" s="1087"/>
      <c r="AA45" s="1100">
        <f t="shared" si="24"/>
        <v>200</v>
      </c>
      <c r="AB45" s="1092"/>
      <c r="AC45" s="1092">
        <f t="shared" si="30"/>
        <v>0.27920227920227919</v>
      </c>
      <c r="AD45" s="1087"/>
      <c r="AE45" s="1087">
        <v>15</v>
      </c>
      <c r="AF45" s="1087">
        <v>3360</v>
      </c>
      <c r="AG45" s="1100">
        <f t="shared" si="31"/>
        <v>210.88049091168335</v>
      </c>
      <c r="AH45" s="1092">
        <f>AK51*AF45+AH31</f>
        <v>579.67600255852915</v>
      </c>
      <c r="AI45" s="1087"/>
      <c r="AJ45" s="1092"/>
      <c r="AK45" s="1092"/>
      <c r="AL45" s="1092"/>
      <c r="AM45" s="1092"/>
      <c r="AN45" s="1092"/>
    </row>
    <row r="46" spans="1:40" ht="14.1" customHeight="1" x14ac:dyDescent="0.3">
      <c r="A46" s="1280">
        <v>16</v>
      </c>
      <c r="B46" s="1155">
        <v>263</v>
      </c>
      <c r="C46" s="1278">
        <f t="shared" si="25"/>
        <v>6.7814755632556276E-2</v>
      </c>
      <c r="E46" s="1127"/>
      <c r="F46" s="1819"/>
      <c r="G46" s="1827"/>
      <c r="H46" s="1819"/>
      <c r="I46" s="1209" t="s">
        <v>16</v>
      </c>
      <c r="J46" s="1209" t="s">
        <v>17</v>
      </c>
      <c r="K46" s="1080"/>
      <c r="M46" s="1103">
        <f t="shared" si="16"/>
        <v>3600</v>
      </c>
      <c r="N46" s="1104">
        <f t="shared" si="17"/>
        <v>0.27213822894168466</v>
      </c>
      <c r="O46" s="1105">
        <f t="shared" si="18"/>
        <v>0.30582633645717811</v>
      </c>
      <c r="P46" s="1105">
        <f t="shared" si="19"/>
        <v>0.28034080841907999</v>
      </c>
      <c r="Q46" s="1114">
        <f t="shared" si="20"/>
        <v>0.25485528038098176</v>
      </c>
      <c r="R46" s="1105">
        <f t="shared" si="21"/>
        <v>0.22936975234288359</v>
      </c>
      <c r="S46" s="1105">
        <f t="shared" si="22"/>
        <v>0.20388422430478542</v>
      </c>
      <c r="T46" s="1107">
        <f t="shared" si="26"/>
        <v>0</v>
      </c>
      <c r="U46" s="355">
        <f t="shared" si="27"/>
        <v>0</v>
      </c>
      <c r="V46" s="1099">
        <f t="shared" si="28"/>
        <v>1</v>
      </c>
      <c r="W46" s="1279">
        <f t="shared" si="29"/>
        <v>6.7814755632556276E-2</v>
      </c>
      <c r="X46" s="1092">
        <f t="shared" si="23"/>
        <v>616.53496606476619</v>
      </c>
      <c r="Y46" s="1100">
        <f>10^((Y50+Y52*LN(X46)+Y57*LN(X46)^2+AA51*LN(X46)^3+ AA57*LN(X46)^4)/(1+Y51*LN(X46)+Y55*LN(X46)^2+AA50*LN(X46)^3+AA52*LN(X46)^4+AA55*LN(X46)^5))</f>
        <v>272.47309814245671</v>
      </c>
      <c r="Z46" s="1087"/>
      <c r="AA46" s="1100">
        <f t="shared" si="24"/>
        <v>263</v>
      </c>
      <c r="AB46" s="1092"/>
      <c r="AC46" s="1092">
        <f t="shared" si="30"/>
        <v>0.27213822894168466</v>
      </c>
      <c r="AD46" s="1087"/>
      <c r="AE46" s="1087">
        <v>16</v>
      </c>
      <c r="AF46" s="1087">
        <v>3600</v>
      </c>
      <c r="AG46" s="1100">
        <f t="shared" si="31"/>
        <v>272.47309814245671</v>
      </c>
      <c r="AH46" s="1092">
        <f>AK51*AF46+AH31</f>
        <v>616.53496606476619</v>
      </c>
      <c r="AI46" s="1087"/>
      <c r="AJ46" s="1092"/>
      <c r="AK46" s="1092"/>
      <c r="AL46" s="1092"/>
      <c r="AM46" s="1092"/>
      <c r="AN46" s="1092"/>
    </row>
    <row r="47" spans="1:40" ht="14.1" customHeight="1" x14ac:dyDescent="0.3">
      <c r="A47" s="1280">
        <v>17</v>
      </c>
      <c r="B47" s="1155">
        <v>344</v>
      </c>
      <c r="C47" s="1278">
        <f t="shared" si="25"/>
        <v>6.2787446897168642E-2</v>
      </c>
      <c r="E47" s="1127"/>
      <c r="F47" s="1108">
        <f>B48</f>
        <v>450</v>
      </c>
      <c r="G47" s="1108">
        <f>MIN(B31:B48)</f>
        <v>0.82</v>
      </c>
      <c r="H47" s="1109">
        <f>(B48+0.2)/(B31+0.2)</f>
        <v>441.37254901960785</v>
      </c>
      <c r="I47" s="1110" t="str">
        <f>IF($J$29=$Q$4, IF(AND($G47&gt;=1,$F47&gt;=420,$H47&gt;=350,$H47&lt;=450),"X",""),IF(AND($G47&gt;=1,$H47&gt;=250,$F47&gt;=250),"X",""))</f>
        <v/>
      </c>
      <c r="J47" s="1110" t="str">
        <f>IF($J$29=$Q$4, IF(AND($G47&gt;=1,$F47&gt;=420,$H47&gt;=350,$H47&lt;=450),"","X"),IF(AND($G47&gt;=1,$H47&gt;=250,$F47&gt;=250),"","X"))</f>
        <v>X</v>
      </c>
      <c r="K47" s="1078"/>
      <c r="M47" s="1103">
        <f t="shared" si="16"/>
        <v>3840</v>
      </c>
      <c r="N47" s="1104">
        <f t="shared" si="17"/>
        <v>0.26688632619439867</v>
      </c>
      <c r="O47" s="1105">
        <f t="shared" si="18"/>
        <v>0.30134303182475008</v>
      </c>
      <c r="P47" s="1105">
        <f t="shared" si="19"/>
        <v>0.27623111250602095</v>
      </c>
      <c r="Q47" s="1114">
        <f t="shared" si="20"/>
        <v>0.25111919318729176</v>
      </c>
      <c r="R47" s="1105">
        <f t="shared" si="21"/>
        <v>0.22600727386856259</v>
      </c>
      <c r="S47" s="1105">
        <f t="shared" si="22"/>
        <v>0.20089535454983343</v>
      </c>
      <c r="T47" s="1107">
        <f t="shared" si="26"/>
        <v>0</v>
      </c>
      <c r="U47" s="355">
        <f t="shared" si="27"/>
        <v>0</v>
      </c>
      <c r="V47" s="1099">
        <f t="shared" si="28"/>
        <v>1</v>
      </c>
      <c r="W47" s="1279">
        <f t="shared" si="29"/>
        <v>6.2787446897168642E-2</v>
      </c>
      <c r="X47" s="1092">
        <f t="shared" si="23"/>
        <v>653.39392957100313</v>
      </c>
      <c r="Y47" s="1100">
        <f>10^((Y50+Y52*LN(X47)+Y57*LN(X47)^2+AA51*LN(X47)^3+ AA57*LN(X47)^4)/(1+Y51*LN(X47)+Y55*LN(X47)^2+AA50*LN(X47)^3+AA52*LN(X47)^4+AA55*LN(X47)^5))</f>
        <v>350.7211117340463</v>
      </c>
      <c r="Z47" s="1087"/>
      <c r="AA47" s="1100">
        <f t="shared" si="24"/>
        <v>344</v>
      </c>
      <c r="AB47" s="1092"/>
      <c r="AC47" s="1092">
        <f t="shared" si="30"/>
        <v>0.26688632619439867</v>
      </c>
      <c r="AD47" s="1087"/>
      <c r="AE47" s="1087">
        <v>17</v>
      </c>
      <c r="AF47" s="1087">
        <v>3840</v>
      </c>
      <c r="AG47" s="1100">
        <f t="shared" si="31"/>
        <v>350.7211117340463</v>
      </c>
      <c r="AH47" s="1092">
        <f>AK51*AF47+AH31</f>
        <v>653.39392957100313</v>
      </c>
      <c r="AI47" s="1087"/>
      <c r="AJ47" s="1092"/>
      <c r="AK47" s="1092"/>
      <c r="AL47" s="1092"/>
      <c r="AM47" s="1092"/>
      <c r="AN47" s="1092"/>
    </row>
    <row r="48" spans="1:40" ht="14.1" customHeight="1" thickBot="1" x14ac:dyDescent="0.35">
      <c r="A48" s="1280">
        <v>18</v>
      </c>
      <c r="B48" s="1155">
        <v>450</v>
      </c>
      <c r="C48" s="1278">
        <f t="shared" si="25"/>
        <v>7.6737247449922663E-2</v>
      </c>
      <c r="E48" s="1127"/>
      <c r="F48" s="1829" t="s">
        <v>837</v>
      </c>
      <c r="G48" s="1829"/>
      <c r="H48" s="1829"/>
      <c r="I48" s="1110" t="str">
        <f>IF($J$29=+$Q$4,IF($T49=0,"X",""),IF($U49=0,"X",""))</f>
        <v/>
      </c>
      <c r="J48" s="1110" t="str">
        <f>IF($J$29=+$Q$4,IF($T49=0,"","X"),IF($U49=0,"","X"))</f>
        <v>X</v>
      </c>
      <c r="K48" s="1078"/>
      <c r="M48" s="1103">
        <f t="shared" si="16"/>
        <v>4080</v>
      </c>
      <c r="N48" s="1104">
        <f t="shared" si="17"/>
        <v>0.26700251889168763</v>
      </c>
      <c r="O48" s="1105">
        <f t="shared" si="18"/>
        <v>0.29756843968094138</v>
      </c>
      <c r="P48" s="1105">
        <f t="shared" si="19"/>
        <v>0.27277106970752962</v>
      </c>
      <c r="Q48" s="1114">
        <f t="shared" si="20"/>
        <v>0.24797369973411781</v>
      </c>
      <c r="R48" s="1105">
        <f t="shared" si="21"/>
        <v>0.22317632976070603</v>
      </c>
      <c r="S48" s="1105">
        <f t="shared" si="22"/>
        <v>0.19837895978729425</v>
      </c>
      <c r="T48" s="1107">
        <f t="shared" si="26"/>
        <v>0</v>
      </c>
      <c r="U48" s="355">
        <f t="shared" si="27"/>
        <v>0</v>
      </c>
      <c r="V48" s="1099">
        <f t="shared" si="28"/>
        <v>1</v>
      </c>
      <c r="W48" s="1279">
        <f t="shared" si="29"/>
        <v>7.6737247449922663E-2</v>
      </c>
      <c r="X48" s="1092">
        <f t="shared" si="23"/>
        <v>690.25289307724006</v>
      </c>
      <c r="Y48" s="1100">
        <f>10^((Y50+Y52*LN(X48)+Y57*LN(X48)^2+AA51*LN(X48)^3+ AA57*LN(X48)^4)/(1+Y51*LN(X48)+Y55*LN(X48)^2+AA50*LN(X48)^3+AA52*LN(X48)^4+AA55*LN(X48)^5))</f>
        <v>450.03908379088074</v>
      </c>
      <c r="Z48" s="1087"/>
      <c r="AA48" s="1100">
        <f t="shared" si="24"/>
        <v>450</v>
      </c>
      <c r="AB48" s="1092">
        <f>AD50+AD51*LOG10(AA48)+AD52*LOG10(AA48)^2+AD55*LOG10(AA48)^3+AF50*LOG10(AA48)^4+AF51*LOG(AA48)^5+AF52*LOG10(AA48)^6+AF55*LOG10(AA48)^7+AF57*LOG10(AA48)^8</f>
        <v>690.25289307724006</v>
      </c>
      <c r="AC48" s="1092">
        <f t="shared" si="30"/>
        <v>0.26700251889168763</v>
      </c>
      <c r="AD48" s="1087"/>
      <c r="AE48" s="1087">
        <v>18</v>
      </c>
      <c r="AF48" s="1087">
        <v>4080</v>
      </c>
      <c r="AG48" s="1100">
        <f>AA48</f>
        <v>450</v>
      </c>
      <c r="AH48" s="1101">
        <f>AB48</f>
        <v>690.25289307724006</v>
      </c>
      <c r="AI48" s="1087"/>
      <c r="AJ48" s="1092"/>
      <c r="AK48" s="1092"/>
      <c r="AL48" s="1092"/>
      <c r="AM48" s="1092"/>
      <c r="AN48" s="1092"/>
    </row>
    <row r="49" spans="1:40" ht="14.1" customHeight="1" x14ac:dyDescent="0.3">
      <c r="A49" s="1117" t="s">
        <v>834</v>
      </c>
      <c r="B49" s="1077"/>
      <c r="C49" s="1077"/>
      <c r="D49" s="1077"/>
      <c r="E49" s="1127"/>
      <c r="F49" s="1127"/>
      <c r="G49" s="1127"/>
      <c r="H49" s="1127"/>
      <c r="I49" s="1127"/>
      <c r="J49" s="1127"/>
      <c r="K49" s="1080"/>
      <c r="M49" s="357"/>
      <c r="N49" s="358"/>
      <c r="O49" s="358"/>
      <c r="P49" s="358"/>
      <c r="Q49" s="1079"/>
      <c r="R49" s="358"/>
      <c r="S49" s="358"/>
      <c r="T49" s="1111">
        <f>SUM(T32:T48)</f>
        <v>4</v>
      </c>
      <c r="U49" s="1112">
        <f>SUM(U32:U48)</f>
        <v>2</v>
      </c>
      <c r="X49" s="1087"/>
      <c r="Y49" s="1100"/>
      <c r="Z49" s="1087"/>
      <c r="AA49" s="1087"/>
      <c r="AB49" s="1092"/>
      <c r="AC49" s="1092"/>
      <c r="AD49" s="1087"/>
      <c r="AE49" s="1087"/>
      <c r="AF49" s="1087"/>
      <c r="AG49" s="1100"/>
      <c r="AH49" s="1101"/>
      <c r="AI49" s="1092"/>
      <c r="AJ49" s="1092"/>
      <c r="AK49" s="1092"/>
      <c r="AL49" s="1087"/>
      <c r="AM49" s="1087"/>
      <c r="AN49" s="1087"/>
    </row>
    <row r="50" spans="1:40" ht="14.1" customHeight="1" x14ac:dyDescent="0.3">
      <c r="A50" s="1117" t="s">
        <v>1103</v>
      </c>
      <c r="B50" s="1181"/>
      <c r="C50" s="1181"/>
      <c r="D50" s="1081"/>
      <c r="E50" s="1207" t="s">
        <v>290</v>
      </c>
      <c r="F50" s="1208" t="s">
        <v>1028</v>
      </c>
      <c r="G50" s="1118">
        <f>MAX(B9:B26)</f>
        <v>500</v>
      </c>
      <c r="H50" s="1828">
        <f>ABS((G50-G51)/G50)</f>
        <v>0.1</v>
      </c>
      <c r="I50" s="1819" t="s">
        <v>15</v>
      </c>
      <c r="J50" s="1819"/>
      <c r="K50" s="1080"/>
      <c r="L50" s="1178" t="s">
        <v>545</v>
      </c>
      <c r="X50" s="1087" t="s">
        <v>351</v>
      </c>
      <c r="Y50" s="1088">
        <v>-1.3011877000000001</v>
      </c>
      <c r="Z50" s="1087" t="s">
        <v>361</v>
      </c>
      <c r="AA50" s="1088">
        <v>2.874562E-2</v>
      </c>
      <c r="AC50" s="1087" t="s">
        <v>352</v>
      </c>
      <c r="AD50" s="1089">
        <v>71.498068000000004</v>
      </c>
      <c r="AE50" s="1087" t="s">
        <v>360</v>
      </c>
      <c r="AF50" s="1087">
        <v>0.28175407000000002</v>
      </c>
      <c r="AH50" s="1087" t="s">
        <v>385</v>
      </c>
      <c r="AI50" s="1087"/>
      <c r="AJ50" s="1087"/>
      <c r="AK50" s="1087"/>
      <c r="AL50" s="1087"/>
      <c r="AM50" s="1087"/>
      <c r="AN50" s="1087"/>
    </row>
    <row r="51" spans="1:40" ht="14.1" customHeight="1" x14ac:dyDescent="0.3">
      <c r="A51" s="1117" t="s">
        <v>1104</v>
      </c>
      <c r="B51" s="1181"/>
      <c r="C51" s="1181"/>
      <c r="D51" s="1181"/>
      <c r="E51" s="1207" t="s">
        <v>291</v>
      </c>
      <c r="F51" s="1208" t="s">
        <v>1028</v>
      </c>
      <c r="G51" s="1119">
        <f>MAX(B31:B48)</f>
        <v>450</v>
      </c>
      <c r="H51" s="1828"/>
      <c r="I51" s="1209" t="s">
        <v>16</v>
      </c>
      <c r="J51" s="1209" t="s">
        <v>17</v>
      </c>
      <c r="K51" s="1080"/>
      <c r="L51" s="1178" t="s">
        <v>546</v>
      </c>
      <c r="X51" s="1087" t="s">
        <v>353</v>
      </c>
      <c r="Y51" s="1088">
        <v>-2.5840190999999998E-2</v>
      </c>
      <c r="Z51" s="1087" t="s">
        <v>363</v>
      </c>
      <c r="AA51" s="1088">
        <v>-2.5468404E-2</v>
      </c>
      <c r="AC51" s="1087" t="s">
        <v>354</v>
      </c>
      <c r="AD51" s="1087">
        <v>94.593052999999998</v>
      </c>
      <c r="AE51" s="1087" t="s">
        <v>362</v>
      </c>
      <c r="AF51" s="1087">
        <v>-1.1878455000000001</v>
      </c>
      <c r="AH51" s="1087"/>
      <c r="AI51" s="1087"/>
      <c r="AJ51" s="1090" t="s">
        <v>386</v>
      </c>
      <c r="AK51" s="1087">
        <f>(AH48-AH31)/AF48</f>
        <v>0.15357901460932064</v>
      </c>
      <c r="AL51" s="1087"/>
      <c r="AM51" s="1087"/>
      <c r="AN51" s="1087"/>
    </row>
    <row r="52" spans="1:40" ht="14.1" customHeight="1" x14ac:dyDescent="0.3">
      <c r="A52" s="1117" t="s">
        <v>1030</v>
      </c>
      <c r="B52" s="1077"/>
      <c r="C52" s="1077"/>
      <c r="D52" s="1077"/>
      <c r="E52" s="1825" t="s">
        <v>832</v>
      </c>
      <c r="F52" s="1825"/>
      <c r="G52" s="1825"/>
      <c r="H52" s="1825"/>
      <c r="I52" s="1110" t="str">
        <f>IF(H50&lt;=0.1,"X","")</f>
        <v>X</v>
      </c>
      <c r="J52" s="1110" t="str">
        <f>IF(H50&gt;0.1,"X","")</f>
        <v/>
      </c>
      <c r="K52" s="1078"/>
      <c r="X52" s="1087" t="s">
        <v>355</v>
      </c>
      <c r="Y52" s="1088">
        <v>8.0242636000000006E-2</v>
      </c>
      <c r="Z52" s="1087" t="s">
        <v>365</v>
      </c>
      <c r="AA52" s="1088">
        <v>-3.1978977000000001E-3</v>
      </c>
      <c r="AC52" s="1087" t="s">
        <v>356</v>
      </c>
      <c r="AD52" s="1087">
        <v>41.912053</v>
      </c>
      <c r="AE52" s="1087" t="s">
        <v>364</v>
      </c>
      <c r="AF52" s="1087">
        <v>-0.18014348999999999</v>
      </c>
      <c r="AH52" s="1087"/>
      <c r="AI52" s="1087"/>
      <c r="AJ52" s="1090" t="s">
        <v>387</v>
      </c>
      <c r="AK52" s="1092">
        <f>AH31</f>
        <v>63.650513471211895</v>
      </c>
      <c r="AL52" s="1087"/>
      <c r="AM52" s="1087"/>
      <c r="AN52" s="1087"/>
    </row>
    <row r="53" spans="1:40" ht="14.1" customHeight="1" x14ac:dyDescent="0.3">
      <c r="A53" s="1117" t="s">
        <v>1031</v>
      </c>
      <c r="B53" s="1077"/>
      <c r="C53" s="1077"/>
      <c r="D53" s="1077"/>
      <c r="E53" s="1160"/>
      <c r="F53" s="1160"/>
      <c r="G53" s="1160"/>
      <c r="H53" s="1160"/>
      <c r="I53" s="1161"/>
      <c r="J53" s="1161"/>
      <c r="K53" s="1078"/>
      <c r="X53" s="1087"/>
      <c r="Y53" s="1088"/>
      <c r="Z53" s="1087"/>
      <c r="AA53" s="1088"/>
      <c r="AC53" s="1087"/>
      <c r="AD53" s="1087"/>
      <c r="AE53" s="1087"/>
      <c r="AF53" s="1087"/>
      <c r="AH53" s="1087"/>
      <c r="AI53" s="1087"/>
      <c r="AJ53" s="1090"/>
      <c r="AK53" s="1092"/>
      <c r="AL53" s="1087"/>
      <c r="AM53" s="1087"/>
      <c r="AN53" s="1087"/>
    </row>
    <row r="54" spans="1:40" ht="14.1" customHeight="1" x14ac:dyDescent="0.3">
      <c r="A54" s="1117" t="s">
        <v>1089</v>
      </c>
      <c r="B54" s="1077"/>
      <c r="C54" s="1077"/>
      <c r="D54" s="1077"/>
      <c r="E54" s="1160"/>
      <c r="F54" s="1160"/>
      <c r="G54" s="1160"/>
      <c r="H54" s="1160"/>
      <c r="I54" s="1161"/>
      <c r="J54" s="1161"/>
      <c r="K54" s="1078"/>
      <c r="X54" s="1087"/>
      <c r="Y54" s="1088"/>
      <c r="Z54" s="1087"/>
      <c r="AA54" s="1088"/>
      <c r="AC54" s="1087"/>
      <c r="AD54" s="1087"/>
      <c r="AE54" s="1087"/>
      <c r="AF54" s="1087"/>
      <c r="AH54" s="1087"/>
      <c r="AI54" s="1087"/>
      <c r="AJ54" s="1090"/>
      <c r="AK54" s="1092"/>
      <c r="AL54" s="1087"/>
      <c r="AM54" s="1087"/>
      <c r="AN54" s="1087"/>
    </row>
    <row r="55" spans="1:40" ht="14.1" customHeight="1" x14ac:dyDescent="0.3">
      <c r="K55" s="1080"/>
      <c r="X55" s="1087" t="s">
        <v>357</v>
      </c>
      <c r="Y55" s="1088">
        <v>-0.10320229</v>
      </c>
      <c r="Z55" s="1087" t="s">
        <v>367</v>
      </c>
      <c r="AA55" s="1088">
        <v>1.2992634000000001E-4</v>
      </c>
      <c r="AC55" s="1087" t="s">
        <v>358</v>
      </c>
      <c r="AD55" s="1087">
        <v>9.8247003999999993</v>
      </c>
      <c r="AE55" s="1087" t="s">
        <v>366</v>
      </c>
      <c r="AF55" s="1087">
        <v>0.14710899</v>
      </c>
      <c r="AI55" s="1087"/>
      <c r="AJ55" s="1087"/>
      <c r="AK55" s="1087"/>
      <c r="AL55" s="1087"/>
      <c r="AM55" s="1087"/>
      <c r="AN55" s="1087"/>
    </row>
    <row r="56" spans="1:40" ht="14.1" customHeight="1" x14ac:dyDescent="0.3">
      <c r="A56" s="698" t="s">
        <v>778</v>
      </c>
      <c r="B56" s="698"/>
      <c r="C56" s="1159"/>
      <c r="D56" s="698"/>
      <c r="E56" s="1584"/>
      <c r="F56" s="1584"/>
      <c r="G56" s="1584"/>
      <c r="H56" s="1584"/>
      <c r="I56" s="1584"/>
      <c r="J56" s="1584"/>
      <c r="K56" s="1120"/>
      <c r="X56" s="1087"/>
      <c r="Y56" s="1088"/>
      <c r="Z56" s="1087"/>
      <c r="AA56" s="1088"/>
      <c r="AC56" s="1087"/>
      <c r="AD56" s="1087"/>
      <c r="AE56" s="1087"/>
      <c r="AF56" s="1087"/>
      <c r="AI56" s="1087"/>
      <c r="AJ56" s="1087"/>
      <c r="AK56" s="1087"/>
      <c r="AL56" s="1087"/>
      <c r="AM56" s="1087"/>
      <c r="AN56" s="1087"/>
    </row>
    <row r="57" spans="1:40" ht="14.1" customHeight="1" x14ac:dyDescent="0.3">
      <c r="A57" s="1490"/>
      <c r="B57" s="1490"/>
      <c r="C57" s="1490"/>
      <c r="D57" s="1490"/>
      <c r="E57" s="1490"/>
      <c r="F57" s="1490"/>
      <c r="G57" s="1490"/>
      <c r="H57" s="1490"/>
      <c r="I57" s="1490"/>
      <c r="J57" s="1490"/>
      <c r="K57" s="1123" t="s">
        <v>490</v>
      </c>
      <c r="L57" s="1212"/>
      <c r="X57" s="1087" t="s">
        <v>359</v>
      </c>
      <c r="Y57" s="1088">
        <v>0.13646699000000001</v>
      </c>
      <c r="Z57" s="1087" t="s">
        <v>369</v>
      </c>
      <c r="AA57" s="1088">
        <v>1.3635334E-3</v>
      </c>
      <c r="AE57" s="1087" t="s">
        <v>368</v>
      </c>
      <c r="AF57" s="1087">
        <v>-1.7046845000000001E-2</v>
      </c>
      <c r="AI57" s="1087"/>
      <c r="AJ57" s="1087"/>
      <c r="AK57" s="1087"/>
      <c r="AL57" s="1095"/>
      <c r="AM57" s="1095"/>
      <c r="AN57" s="1095"/>
    </row>
    <row r="58" spans="1:40" ht="14.1" customHeight="1" x14ac:dyDescent="0.3">
      <c r="A58" s="1490"/>
      <c r="B58" s="1490"/>
      <c r="C58" s="1490"/>
      <c r="D58" s="1490"/>
      <c r="E58" s="1490"/>
      <c r="F58" s="1490"/>
      <c r="G58" s="1490"/>
      <c r="H58" s="1490"/>
      <c r="I58" s="1490"/>
      <c r="J58" s="1490"/>
      <c r="K58" s="1083">
        <f>IF(J29="",COUNTIF(J25:J26,"X"),+COUNTIF(J52,"X")+COUNTIF(J47:J48,"X")+COUNTIF(J25:J26,"X"))</f>
        <v>3</v>
      </c>
      <c r="L58" s="1082"/>
      <c r="X58" s="1087"/>
      <c r="Y58" s="1088"/>
      <c r="Z58" s="1087"/>
      <c r="AA58" s="1088"/>
      <c r="AE58" s="1087"/>
      <c r="AF58" s="1087"/>
      <c r="AI58" s="1087"/>
      <c r="AJ58" s="1087"/>
      <c r="AK58" s="1087"/>
      <c r="AL58" s="1095"/>
      <c r="AM58" s="1095"/>
      <c r="AN58" s="1095"/>
    </row>
    <row r="59" spans="1:40" ht="14.1" customHeight="1" x14ac:dyDescent="0.3">
      <c r="F59" s="1073"/>
      <c r="L59" s="1082"/>
    </row>
  </sheetData>
  <sheetProtection algorithmName="SHA-512" hashValue="LnUzoCCAuap0HKMFJZ124rmD1n/mRQL8l+2zbez13IgCQrrAD22hlZ89rlsoAPuW0SBDCfMR54B3CySHwuHOCg==" saltValue="bZyOgiQvKZo9eLeMKDiYcQ==" spinCount="100000" sheet="1" objects="1" scenarios="1"/>
  <mergeCells count="22">
    <mergeCell ref="E52:H52"/>
    <mergeCell ref="A57:J57"/>
    <mergeCell ref="A58:J58"/>
    <mergeCell ref="G45:G46"/>
    <mergeCell ref="H45:H46"/>
    <mergeCell ref="I45:J45"/>
    <mergeCell ref="H50:H51"/>
    <mergeCell ref="I50:J50"/>
    <mergeCell ref="F45:F46"/>
    <mergeCell ref="F48:H48"/>
    <mergeCell ref="E56:J56"/>
    <mergeCell ref="A29:B29"/>
    <mergeCell ref="H4:J4"/>
    <mergeCell ref="A7:B7"/>
    <mergeCell ref="G23:G24"/>
    <mergeCell ref="H23:H24"/>
    <mergeCell ref="I23:J23"/>
    <mergeCell ref="F23:F24"/>
    <mergeCell ref="F26:H26"/>
    <mergeCell ref="H5:J5"/>
    <mergeCell ref="D7:G7"/>
    <mergeCell ref="D29:G29"/>
  </mergeCells>
  <conditionalFormatting sqref="G47">
    <cfRule type="cellIs" dxfId="76" priority="76" operator="lessThan">
      <formula>1</formula>
    </cfRule>
    <cfRule type="cellIs" dxfId="75" priority="77" operator="lessThan">
      <formula>0.9</formula>
    </cfRule>
    <cfRule type="cellIs" dxfId="74" priority="80" operator="lessThan">
      <formula>1</formula>
    </cfRule>
  </conditionalFormatting>
  <conditionalFormatting sqref="G47">
    <cfRule type="cellIs" dxfId="73" priority="79" operator="lessThan">
      <formula>1</formula>
    </cfRule>
  </conditionalFormatting>
  <conditionalFormatting sqref="H50">
    <cfRule type="cellIs" dxfId="72" priority="73" operator="greaterThan">
      <formula>0.1</formula>
    </cfRule>
    <cfRule type="cellIs" dxfId="71" priority="74" operator="greaterThan">
      <formula>0.1</formula>
    </cfRule>
  </conditionalFormatting>
  <conditionalFormatting sqref="B31:B48">
    <cfRule type="expression" dxfId="70" priority="23" stopIfTrue="1">
      <formula>$J$29=""</formula>
    </cfRule>
  </conditionalFormatting>
  <conditionalFormatting sqref="C9:C26">
    <cfRule type="cellIs" dxfId="69" priority="20" operator="notBetween">
      <formula>-0.2</formula>
      <formula>0.2</formula>
    </cfRule>
    <cfRule type="expression" priority="21" stopIfTrue="1">
      <formula>$J$7=$Q$5</formula>
    </cfRule>
    <cfRule type="cellIs" dxfId="68" priority="22" operator="notBetween">
      <formula>-0.1</formula>
      <formula>0.1</formula>
    </cfRule>
  </conditionalFormatting>
  <conditionalFormatting sqref="C31:C48">
    <cfRule type="cellIs" dxfId="67" priority="17" operator="notBetween">
      <formula>-0.2</formula>
      <formula>0.2</formula>
    </cfRule>
    <cfRule type="expression" priority="18" stopIfTrue="1">
      <formula>$J$29=$Q$5</formula>
    </cfRule>
    <cfRule type="cellIs" dxfId="66" priority="19" operator="notBetween">
      <formula>-0.1</formula>
      <formula>0.1</formula>
    </cfRule>
  </conditionalFormatting>
  <conditionalFormatting sqref="H25">
    <cfRule type="cellIs" dxfId="65" priority="4" operator="lessThan">
      <formula>250</formula>
    </cfRule>
    <cfRule type="expression" priority="12" stopIfTrue="1">
      <formula>$J$7=$Q$5</formula>
    </cfRule>
    <cfRule type="cellIs" dxfId="64" priority="13" stopIfTrue="1" operator="notBetween">
      <formula>350</formula>
      <formula>450</formula>
    </cfRule>
  </conditionalFormatting>
  <conditionalFormatting sqref="H47">
    <cfRule type="cellIs" dxfId="63" priority="1" operator="lessThan">
      <formula>250</formula>
    </cfRule>
    <cfRule type="expression" priority="10">
      <formula>$J$29=$Q$5</formula>
    </cfRule>
    <cfRule type="cellIs" dxfId="62" priority="11" stopIfTrue="1" operator="notBetween">
      <formula>350</formula>
      <formula>450</formula>
    </cfRule>
  </conditionalFormatting>
  <conditionalFormatting sqref="F47">
    <cfRule type="cellIs" dxfId="61" priority="2" operator="lessThan">
      <formula>250</formula>
    </cfRule>
    <cfRule type="expression" priority="8" stopIfTrue="1">
      <formula>$J$29=$Q$5</formula>
    </cfRule>
    <cfRule type="cellIs" dxfId="60" priority="9" operator="lessThan">
      <formula>420</formula>
    </cfRule>
  </conditionalFormatting>
  <conditionalFormatting sqref="F25">
    <cfRule type="cellIs" dxfId="59" priority="3" operator="lessThan">
      <formula>250</formula>
    </cfRule>
    <cfRule type="expression" priority="6" stopIfTrue="1">
      <formula>$J$7=$Q$5</formula>
    </cfRule>
    <cfRule type="cellIs" dxfId="58" priority="7" operator="lessThan">
      <formula>420</formula>
    </cfRule>
  </conditionalFormatting>
  <conditionalFormatting sqref="G25">
    <cfRule type="cellIs" dxfId="57" priority="5" operator="lessThan">
      <formula>1</formula>
    </cfRule>
  </conditionalFormatting>
  <dataValidations count="3">
    <dataValidation type="list" allowBlank="1" showInputMessage="1" showErrorMessage="1" sqref="H7 H29" xr:uid="{00000000-0002-0000-1200-000000000000}">
      <formula1>$P$4:$P$8</formula1>
    </dataValidation>
    <dataValidation type="list" allowBlank="1" showInputMessage="1" showErrorMessage="1" sqref="J7 J29" xr:uid="{00000000-0002-0000-1200-000001000000}">
      <formula1>$Q$4:$Q$6</formula1>
    </dataValidation>
    <dataValidation type="list" allowBlank="1" showInputMessage="1" showErrorMessage="1" sqref="H4:J4" xr:uid="{00000000-0002-0000-1200-000002000000}">
      <formula1>$L$2:$L$18</formula1>
    </dataValidation>
  </dataValidations>
  <printOptions horizontalCentered="1"/>
  <pageMargins left="0.70866141732283472" right="0.70866141732283472" top="0.74803149606299213" bottom="0.74803149606299213" header="0.31496062992125984" footer="0.31496062992125984"/>
  <pageSetup paperSize="120" scale="88" orientation="portrait" r:id="rId1"/>
  <headerFooter>
    <oddFooter>&amp;CPage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3000000}">
          <x14:formula1>
            <xm:f>'2.14 abMON'!$K$21:$K$28</xm:f>
          </x14:formula1>
          <xm:sqref>I29 I7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20DF-4B1B-4954-8AD7-D3D9294EC710}">
  <sheetPr>
    <tabColor theme="5" tint="-0.249977111117893"/>
    <pageSetUpPr fitToPage="1"/>
  </sheetPr>
  <dimension ref="A1:O67"/>
  <sheetViews>
    <sheetView topLeftCell="A11" zoomScaleNormal="100" zoomScalePageLayoutView="85" workbookViewId="0">
      <selection activeCell="M53" sqref="M53"/>
    </sheetView>
  </sheetViews>
  <sheetFormatPr baseColWidth="10" defaultColWidth="9.33203125" defaultRowHeight="15.6" x14ac:dyDescent="0.3"/>
  <cols>
    <col min="1" max="1" width="10.5546875" style="1133" customWidth="1"/>
    <col min="2" max="2" width="10.6640625" style="1133" customWidth="1"/>
    <col min="3" max="3" width="22.33203125" style="1133" customWidth="1"/>
    <col min="4" max="4" width="36.33203125" style="1133" customWidth="1"/>
    <col min="5" max="8" width="10.6640625" style="1133" customWidth="1"/>
    <col min="9" max="9" width="5.6640625" style="1133" customWidth="1"/>
    <col min="10" max="10" width="6.5546875" style="1133" customWidth="1"/>
    <col min="11" max="11" width="22.44140625" style="1133" customWidth="1"/>
    <col min="12" max="13" width="9.33203125" style="1133"/>
    <col min="14" max="14" width="21.6640625" style="1133" customWidth="1"/>
    <col min="15" max="16384" width="9.33203125" style="1133"/>
  </cols>
  <sheetData>
    <row r="1" spans="1:15" ht="17.7" customHeight="1" x14ac:dyDescent="0.3">
      <c r="A1" s="761" t="s">
        <v>753</v>
      </c>
      <c r="B1" s="762"/>
      <c r="C1" s="54" t="str">
        <f>Info!C10</f>
        <v>Clinique Ste-Mammo</v>
      </c>
      <c r="D1" s="55"/>
      <c r="E1" s="56" t="s">
        <v>755</v>
      </c>
      <c r="F1" s="55"/>
      <c r="G1" s="55"/>
      <c r="H1" s="203" t="str">
        <f>+Info!C37</f>
        <v>20-01-2020</v>
      </c>
      <c r="I1" s="1132"/>
      <c r="K1" s="1075" t="s">
        <v>448</v>
      </c>
    </row>
    <row r="2" spans="1:15" x14ac:dyDescent="0.3">
      <c r="A2" s="58" t="s">
        <v>754</v>
      </c>
      <c r="B2" s="763"/>
      <c r="C2" s="59" t="str">
        <f>Info!C21</f>
        <v>Salle 2, Hirad IV</v>
      </c>
      <c r="D2" s="51"/>
      <c r="E2" s="60" t="s">
        <v>756</v>
      </c>
      <c r="F2" s="51"/>
      <c r="G2" s="51"/>
      <c r="H2" s="61" t="str">
        <f>+Info!C35</f>
        <v>Alexandre Toussaint</v>
      </c>
      <c r="I2" s="1132"/>
      <c r="J2" s="1134"/>
      <c r="K2" s="350" t="str">
        <f>Éqpmt!B35</f>
        <v>bureau Dr Xxx (console #3)</v>
      </c>
    </row>
    <row r="3" spans="1:15" ht="11.7" customHeight="1" x14ac:dyDescent="0.3">
      <c r="A3" s="1135"/>
      <c r="B3" s="1135"/>
      <c r="C3" s="1135"/>
      <c r="D3" s="1135"/>
      <c r="E3" s="1135"/>
      <c r="F3" s="1135"/>
      <c r="G3" s="1135"/>
      <c r="H3" s="1135"/>
      <c r="I3" s="1132"/>
      <c r="J3" s="1134"/>
      <c r="K3" s="1091" t="str">
        <f>Éqpmt!E35</f>
        <v>bureau Dr Xxx (console #3)</v>
      </c>
    </row>
    <row r="4" spans="1:15" ht="18.600000000000001" customHeight="1" x14ac:dyDescent="0.3">
      <c r="A4" s="1136" t="s">
        <v>829</v>
      </c>
      <c r="B4" s="1137"/>
      <c r="C4" s="1137"/>
      <c r="D4" s="1137"/>
      <c r="E4" s="1137"/>
      <c r="F4" s="1135"/>
      <c r="G4" s="1135"/>
      <c r="H4" s="1135"/>
      <c r="I4" s="1132"/>
      <c r="J4" s="1134"/>
      <c r="K4" s="1091" t="str">
        <f>Éqpmt!B42</f>
        <v>salle 5043</v>
      </c>
      <c r="N4" s="1131" t="s">
        <v>403</v>
      </c>
      <c r="O4" s="1079"/>
    </row>
    <row r="5" spans="1:15" ht="14.1" customHeight="1" x14ac:dyDescent="0.3">
      <c r="A5" s="1137"/>
      <c r="B5" s="1137"/>
      <c r="C5" s="1137"/>
      <c r="D5" s="1138" t="s">
        <v>404</v>
      </c>
      <c r="E5" s="1793" t="s">
        <v>772</v>
      </c>
      <c r="F5" s="1794"/>
      <c r="G5" s="1794"/>
      <c r="H5" s="1795"/>
      <c r="I5" s="1132"/>
      <c r="J5" s="1134"/>
      <c r="K5" s="1091" t="str">
        <f>Éqpmt!E42</f>
        <v>salle 5043</v>
      </c>
      <c r="N5" s="1131" t="s">
        <v>446</v>
      </c>
      <c r="O5" s="1131" t="s">
        <v>271</v>
      </c>
    </row>
    <row r="6" spans="1:15" ht="14.1" customHeight="1" x14ac:dyDescent="0.3">
      <c r="B6" s="1135"/>
      <c r="C6" s="1135"/>
      <c r="D6" s="1274" t="s">
        <v>412</v>
      </c>
      <c r="E6" s="1800" t="s">
        <v>445</v>
      </c>
      <c r="F6" s="1801"/>
      <c r="G6" s="1801"/>
      <c r="H6" s="1802"/>
      <c r="I6" s="1132"/>
      <c r="J6" s="1134"/>
      <c r="K6" s="1091" t="str">
        <f>Éqpmt!B49</f>
        <v>bureau Dr Ladouceur</v>
      </c>
      <c r="N6" s="1131" t="s">
        <v>445</v>
      </c>
      <c r="O6" s="1131" t="s">
        <v>405</v>
      </c>
    </row>
    <row r="7" spans="1:15" ht="14.1" customHeight="1" x14ac:dyDescent="0.3">
      <c r="B7" s="1139"/>
      <c r="C7" s="1139"/>
      <c r="E7" s="1139"/>
      <c r="F7" s="1135"/>
      <c r="G7" s="1137"/>
      <c r="H7" s="1135"/>
      <c r="I7" s="1132"/>
      <c r="J7" s="1134"/>
      <c r="K7" s="1091" t="str">
        <f>Éqpmt!E49</f>
        <v>bureau Dr Ladouceur</v>
      </c>
      <c r="N7" s="1134"/>
      <c r="O7" s="1131"/>
    </row>
    <row r="8" spans="1:15" ht="14.1" customHeight="1" x14ac:dyDescent="0.3">
      <c r="A8" s="1135"/>
      <c r="B8" s="1139"/>
      <c r="C8" s="1139"/>
      <c r="D8" s="1139"/>
      <c r="E8" s="1139"/>
      <c r="F8" s="1129" t="s">
        <v>691</v>
      </c>
      <c r="G8" s="1139"/>
      <c r="H8" s="1129" t="s">
        <v>691</v>
      </c>
      <c r="I8" s="1132"/>
      <c r="J8" s="1134"/>
      <c r="K8" s="1091" t="str">
        <f>Éqpmt!B57</f>
        <v>technologue</v>
      </c>
      <c r="N8" s="1134"/>
      <c r="O8" s="1131"/>
    </row>
    <row r="9" spans="1:15" s="1134" customFormat="1" ht="15.75" customHeight="1" x14ac:dyDescent="0.3">
      <c r="A9" s="1803" t="s">
        <v>272</v>
      </c>
      <c r="B9" s="1804"/>
      <c r="C9" s="1804"/>
      <c r="D9" s="1805"/>
      <c r="E9" s="1124" t="s">
        <v>290</v>
      </c>
      <c r="F9" s="1124">
        <v>12345</v>
      </c>
      <c r="G9" s="1124" t="s">
        <v>291</v>
      </c>
      <c r="H9" s="1124">
        <v>987</v>
      </c>
      <c r="I9" s="1140"/>
      <c r="K9" s="1091" t="str">
        <f>Éqpmt!E57</f>
        <v>appareil</v>
      </c>
      <c r="O9" s="1131"/>
    </row>
    <row r="10" spans="1:15" s="1134" customFormat="1" ht="14.1" customHeight="1" x14ac:dyDescent="0.3">
      <c r="A10" s="1806"/>
      <c r="B10" s="1807"/>
      <c r="C10" s="1807"/>
      <c r="D10" s="1808"/>
      <c r="E10" s="1798" t="s">
        <v>15</v>
      </c>
      <c r="F10" s="1798"/>
      <c r="G10" s="1798" t="s">
        <v>15</v>
      </c>
      <c r="H10" s="1798"/>
      <c r="I10" s="1140"/>
      <c r="K10" s="1102" t="s">
        <v>179</v>
      </c>
    </row>
    <row r="11" spans="1:15" s="1134" customFormat="1" ht="14.1" customHeight="1" x14ac:dyDescent="0.3">
      <c r="A11" s="1780"/>
      <c r="B11" s="1781"/>
      <c r="C11" s="1781"/>
      <c r="D11" s="1782"/>
      <c r="E11" s="1284" t="s">
        <v>16</v>
      </c>
      <c r="F11" s="1284" t="s">
        <v>17</v>
      </c>
      <c r="G11" s="1284" t="s">
        <v>16</v>
      </c>
      <c r="H11" s="1284" t="s">
        <v>17</v>
      </c>
      <c r="I11" s="1140"/>
      <c r="K11" s="1102" t="s">
        <v>180</v>
      </c>
      <c r="N11" s="1134" t="s">
        <v>466</v>
      </c>
    </row>
    <row r="12" spans="1:15" s="1134" customFormat="1" ht="14.1" customHeight="1" x14ac:dyDescent="0.3">
      <c r="A12" s="1809" t="s">
        <v>273</v>
      </c>
      <c r="B12" s="1809"/>
      <c r="C12" s="1809"/>
      <c r="D12" s="1809"/>
      <c r="E12" s="1129" t="s">
        <v>150</v>
      </c>
      <c r="F12" s="1129"/>
      <c r="G12" s="1084"/>
      <c r="H12" s="1084"/>
      <c r="I12" s="1078"/>
      <c r="K12" s="1102" t="s">
        <v>181</v>
      </c>
      <c r="N12" s="1141" t="s">
        <v>290</v>
      </c>
    </row>
    <row r="13" spans="1:15" s="1134" customFormat="1" ht="14.1" customHeight="1" x14ac:dyDescent="0.3">
      <c r="A13" s="1809" t="s">
        <v>274</v>
      </c>
      <c r="B13" s="1809"/>
      <c r="C13" s="1809"/>
      <c r="D13" s="1809"/>
      <c r="E13" s="1129"/>
      <c r="F13" s="1129"/>
      <c r="G13" s="1084"/>
      <c r="H13" s="1084"/>
      <c r="I13" s="1078"/>
      <c r="K13" s="1102" t="s">
        <v>182</v>
      </c>
      <c r="N13" s="1141" t="s">
        <v>291</v>
      </c>
    </row>
    <row r="14" spans="1:15" s="1134" customFormat="1" ht="14.1" customHeight="1" x14ac:dyDescent="0.3">
      <c r="A14" s="1789" t="s">
        <v>275</v>
      </c>
      <c r="B14" s="1790"/>
      <c r="C14" s="1790"/>
      <c r="D14" s="1791"/>
      <c r="E14" s="1129"/>
      <c r="F14" s="1129"/>
      <c r="G14" s="1084"/>
      <c r="H14" s="1084" t="s">
        <v>150</v>
      </c>
      <c r="I14" s="1078"/>
      <c r="K14" s="1102" t="s">
        <v>183</v>
      </c>
      <c r="N14" s="1141" t="s">
        <v>465</v>
      </c>
    </row>
    <row r="15" spans="1:15" s="1134" customFormat="1" ht="14.1" customHeight="1" x14ac:dyDescent="0.3">
      <c r="A15" s="1789" t="s">
        <v>276</v>
      </c>
      <c r="B15" s="1790"/>
      <c r="C15" s="1790"/>
      <c r="D15" s="1791"/>
      <c r="E15" s="1129"/>
      <c r="F15" s="1129"/>
      <c r="G15" s="1084"/>
      <c r="H15" s="1084"/>
      <c r="I15" s="1078"/>
      <c r="K15" s="1102" t="s">
        <v>184</v>
      </c>
      <c r="N15" s="1141"/>
    </row>
    <row r="16" spans="1:15" s="1134" customFormat="1" ht="14.1" customHeight="1" x14ac:dyDescent="0.3">
      <c r="A16" s="1809" t="s">
        <v>277</v>
      </c>
      <c r="B16" s="1809"/>
      <c r="C16" s="1809"/>
      <c r="D16" s="1129">
        <v>20</v>
      </c>
      <c r="E16" s="1144" t="str">
        <f>IF(ISBLANK($D16),"",IF($D16&lt;=40,"X",""))</f>
        <v>X</v>
      </c>
      <c r="F16" s="1144" t="str">
        <f>IF(ISBLANK($D16),"",IF($D16&lt;=40,"","X"))</f>
        <v/>
      </c>
      <c r="G16" s="1144" t="str">
        <f>IF(ISBLANK($D16),"",IF($D16&lt;=40,"X",""))</f>
        <v>X</v>
      </c>
      <c r="H16" s="1144" t="str">
        <f>IF(ISBLANK($D16),"",IF($D16&lt;=40,"","X"))</f>
        <v/>
      </c>
      <c r="I16" s="1078"/>
      <c r="K16" s="1102" t="s">
        <v>185</v>
      </c>
      <c r="L16" s="1142"/>
    </row>
    <row r="17" spans="1:11" s="1134" customFormat="1" ht="14.25" customHeight="1" x14ac:dyDescent="0.3">
      <c r="A17" s="1139"/>
      <c r="B17" s="1139"/>
      <c r="C17" s="1139"/>
      <c r="D17" s="1139"/>
      <c r="E17" s="1139"/>
      <c r="F17" s="1139"/>
      <c r="G17" s="1139"/>
      <c r="H17" s="1139"/>
      <c r="I17" s="1140"/>
      <c r="K17" s="356" t="s">
        <v>186</v>
      </c>
    </row>
    <row r="18" spans="1:11" s="1134" customFormat="1" ht="14.25" customHeight="1" x14ac:dyDescent="0.3">
      <c r="A18" s="1139"/>
      <c r="B18" s="1139"/>
      <c r="C18" s="1139"/>
      <c r="D18" s="1139"/>
      <c r="E18" s="1139"/>
      <c r="F18" s="1139"/>
      <c r="G18" s="1139"/>
      <c r="H18" s="1139"/>
      <c r="I18" s="1140"/>
      <c r="K18" s="1143"/>
    </row>
    <row r="19" spans="1:11" s="1134" customFormat="1" ht="14.1" customHeight="1" x14ac:dyDescent="0.3">
      <c r="A19" s="1811" t="s">
        <v>278</v>
      </c>
      <c r="B19" s="1811"/>
      <c r="C19" s="1811"/>
      <c r="D19" s="1811"/>
      <c r="E19" s="1144" t="str">
        <f>E9</f>
        <v>Gauche</v>
      </c>
      <c r="F19" s="1275">
        <f>F9</f>
        <v>12345</v>
      </c>
      <c r="G19" s="1144" t="str">
        <f t="shared" ref="G19:H19" si="0">G9</f>
        <v>Droit</v>
      </c>
      <c r="H19" s="1275">
        <f t="shared" si="0"/>
        <v>987</v>
      </c>
      <c r="I19" s="1140"/>
    </row>
    <row r="20" spans="1:11" s="1134" customFormat="1" ht="14.1" customHeight="1" x14ac:dyDescent="0.3">
      <c r="A20" s="1811"/>
      <c r="B20" s="1811"/>
      <c r="C20" s="1811"/>
      <c r="D20" s="1811"/>
      <c r="E20" s="1799" t="s">
        <v>15</v>
      </c>
      <c r="F20" s="1799"/>
      <c r="G20" s="1799" t="s">
        <v>15</v>
      </c>
      <c r="H20" s="1799"/>
      <c r="I20" s="1140"/>
      <c r="K20" s="953" t="s">
        <v>535</v>
      </c>
    </row>
    <row r="21" spans="1:11" s="1134" customFormat="1" ht="14.1" customHeight="1" x14ac:dyDescent="0.3">
      <c r="A21" s="1810" t="s">
        <v>279</v>
      </c>
      <c r="B21" s="1810"/>
      <c r="C21" s="1810"/>
      <c r="D21" s="1810"/>
      <c r="E21" s="1284" t="s">
        <v>16</v>
      </c>
      <c r="F21" s="1284" t="s">
        <v>17</v>
      </c>
      <c r="G21" s="1284" t="s">
        <v>16</v>
      </c>
      <c r="H21" s="1284" t="s">
        <v>17</v>
      </c>
      <c r="I21" s="1140"/>
      <c r="K21" s="1167">
        <f>Éqpmt!B38</f>
        <v>12345</v>
      </c>
    </row>
    <row r="22" spans="1:11" s="1134" customFormat="1" ht="14.1" customHeight="1" x14ac:dyDescent="0.3">
      <c r="A22" s="1792" t="s">
        <v>280</v>
      </c>
      <c r="B22" s="1790"/>
      <c r="C22" s="1790"/>
      <c r="D22" s="1791"/>
      <c r="E22" s="1129"/>
      <c r="F22" s="1129"/>
      <c r="G22" s="1129"/>
      <c r="H22" s="1129"/>
      <c r="I22" s="1078"/>
      <c r="K22" s="1167">
        <f>Éqpmt!E38</f>
        <v>567789</v>
      </c>
    </row>
    <row r="23" spans="1:11" s="1134" customFormat="1" ht="14.1" customHeight="1" x14ac:dyDescent="0.3">
      <c r="A23" s="1145" t="s">
        <v>281</v>
      </c>
      <c r="B23" s="1145"/>
      <c r="C23" s="1145"/>
      <c r="D23" s="1145"/>
      <c r="E23" s="1129"/>
      <c r="F23" s="1129"/>
      <c r="G23" s="1129"/>
      <c r="H23" s="1129"/>
      <c r="I23" s="1078"/>
      <c r="K23" s="1167">
        <f>Éqpmt!B45</f>
        <v>87654</v>
      </c>
    </row>
    <row r="24" spans="1:11" s="1134" customFormat="1" ht="14.1" customHeight="1" x14ac:dyDescent="0.3">
      <c r="A24" s="1792" t="s">
        <v>282</v>
      </c>
      <c r="B24" s="1790"/>
      <c r="C24" s="1790"/>
      <c r="D24" s="1791"/>
      <c r="E24" s="1129"/>
      <c r="F24" s="1129"/>
      <c r="G24" s="1129"/>
      <c r="H24" s="1129"/>
      <c r="I24" s="1078"/>
      <c r="K24" s="1167">
        <f>Éqpmt!E45</f>
        <v>987</v>
      </c>
    </row>
    <row r="25" spans="1:11" s="1134" customFormat="1" ht="14.1" customHeight="1" x14ac:dyDescent="0.3">
      <c r="A25" s="1792" t="s">
        <v>283</v>
      </c>
      <c r="B25" s="1790"/>
      <c r="C25" s="1790"/>
      <c r="D25" s="1791"/>
      <c r="E25" s="1129"/>
      <c r="F25" s="1129"/>
      <c r="G25" s="1129"/>
      <c r="H25" s="1129"/>
      <c r="I25" s="1078"/>
      <c r="K25" s="1167">
        <f>Éqpmt!B52</f>
        <v>7654</v>
      </c>
    </row>
    <row r="26" spans="1:11" s="1134" customFormat="1" ht="14.1" customHeight="1" x14ac:dyDescent="0.3">
      <c r="A26" s="1792" t="s">
        <v>284</v>
      </c>
      <c r="B26" s="1790"/>
      <c r="C26" s="1790"/>
      <c r="D26" s="1791"/>
      <c r="E26" s="1129"/>
      <c r="F26" s="1129"/>
      <c r="G26" s="1129"/>
      <c r="H26" s="1129"/>
      <c r="I26" s="1078"/>
      <c r="K26" s="1167">
        <f>Éqpmt!E52</f>
        <v>1234</v>
      </c>
    </row>
    <row r="27" spans="1:11" s="1134" customFormat="1" ht="14.1" customHeight="1" x14ac:dyDescent="0.3">
      <c r="A27" s="1792" t="s">
        <v>285</v>
      </c>
      <c r="B27" s="1790"/>
      <c r="C27" s="1790"/>
      <c r="D27" s="1791"/>
      <c r="E27" s="1129"/>
      <c r="F27" s="1129"/>
      <c r="G27" s="1129"/>
      <c r="H27" s="1129"/>
      <c r="I27" s="1078"/>
      <c r="K27" s="1167">
        <f>Éqpmt!B60</f>
        <v>8654</v>
      </c>
    </row>
    <row r="28" spans="1:11" s="1134" customFormat="1" ht="14.1" customHeight="1" x14ac:dyDescent="0.3">
      <c r="A28" s="1792" t="s">
        <v>286</v>
      </c>
      <c r="B28" s="1790"/>
      <c r="C28" s="1790"/>
      <c r="D28" s="1791"/>
      <c r="E28" s="1129"/>
      <c r="F28" s="1129"/>
      <c r="G28" s="1129"/>
      <c r="H28" s="1129"/>
      <c r="I28" s="1078"/>
      <c r="K28" s="954">
        <f>Éqpmt!E60</f>
        <v>241462</v>
      </c>
    </row>
    <row r="29" spans="1:11" s="1134" customFormat="1" ht="14.1" customHeight="1" x14ac:dyDescent="0.3">
      <c r="A29" s="1792" t="s">
        <v>287</v>
      </c>
      <c r="B29" s="1790"/>
      <c r="C29" s="1790"/>
      <c r="D29" s="1791"/>
      <c r="E29" s="1129"/>
      <c r="F29" s="1129"/>
      <c r="G29" s="1129"/>
      <c r="H29" s="1129"/>
      <c r="I29" s="1078"/>
    </row>
    <row r="30" spans="1:11" s="1134" customFormat="1" ht="14.1" customHeight="1" x14ac:dyDescent="0.3">
      <c r="A30" s="1787" t="s">
        <v>913</v>
      </c>
      <c r="B30" s="1788"/>
      <c r="C30" s="1788"/>
      <c r="D30" s="1788"/>
      <c r="E30" s="1276"/>
      <c r="F30" s="1276"/>
      <c r="G30" s="1276"/>
      <c r="H30" s="1277"/>
      <c r="I30" s="1140"/>
    </row>
    <row r="31" spans="1:11" s="1134" customFormat="1" ht="14.1" customHeight="1" x14ac:dyDescent="0.3">
      <c r="A31" s="1792" t="s">
        <v>428</v>
      </c>
      <c r="B31" s="1790"/>
      <c r="C31" s="1790"/>
      <c r="D31" s="1791"/>
      <c r="E31" s="1129"/>
      <c r="F31" s="1129"/>
      <c r="G31" s="1129"/>
      <c r="H31" s="1129"/>
      <c r="I31" s="1078"/>
    </row>
    <row r="32" spans="1:11" s="1134" customFormat="1" ht="14.1" customHeight="1" x14ac:dyDescent="0.3">
      <c r="A32" s="1792" t="s">
        <v>288</v>
      </c>
      <c r="B32" s="1790"/>
      <c r="C32" s="1790"/>
      <c r="D32" s="1791"/>
      <c r="E32" s="1129"/>
      <c r="F32" s="1129"/>
      <c r="G32" s="1129"/>
      <c r="H32" s="1129"/>
      <c r="I32" s="1078"/>
    </row>
    <row r="33" spans="1:11" s="1134" customFormat="1" ht="14.1" customHeight="1" x14ac:dyDescent="0.3">
      <c r="A33" s="1792" t="s">
        <v>289</v>
      </c>
      <c r="B33" s="1790"/>
      <c r="C33" s="1790"/>
      <c r="D33" s="1791"/>
      <c r="E33" s="1129"/>
      <c r="F33" s="1129"/>
      <c r="G33" s="1129"/>
      <c r="H33" s="1129"/>
      <c r="I33" s="1078"/>
    </row>
    <row r="34" spans="1:11" s="1134" customFormat="1" x14ac:dyDescent="0.3">
      <c r="A34" s="1139"/>
      <c r="B34" s="1139"/>
      <c r="C34" s="1139"/>
      <c r="D34" s="1139"/>
      <c r="E34" s="1139"/>
      <c r="F34" s="1139"/>
      <c r="G34" s="1139"/>
      <c r="H34" s="1139"/>
      <c r="I34" s="1140"/>
    </row>
    <row r="35" spans="1:11" s="1134" customFormat="1" ht="14.1" customHeight="1" x14ac:dyDescent="0.3">
      <c r="A35" s="764" t="s">
        <v>292</v>
      </c>
      <c r="B35" s="765"/>
      <c r="C35" s="765"/>
      <c r="D35" s="766"/>
      <c r="E35" s="1144" t="str">
        <f>E9</f>
        <v>Gauche</v>
      </c>
      <c r="F35" s="1275">
        <f>F9</f>
        <v>12345</v>
      </c>
      <c r="G35" s="1144" t="str">
        <f>G9</f>
        <v>Droit</v>
      </c>
      <c r="H35" s="1275">
        <f>H9</f>
        <v>987</v>
      </c>
      <c r="I35" s="1140"/>
    </row>
    <row r="36" spans="1:11" s="1134" customFormat="1" ht="14.1" customHeight="1" x14ac:dyDescent="0.3">
      <c r="A36" s="1777" t="s">
        <v>293</v>
      </c>
      <c r="B36" s="1778"/>
      <c r="C36" s="1778"/>
      <c r="D36" s="1779"/>
      <c r="E36" s="1772" t="s">
        <v>294</v>
      </c>
      <c r="F36" s="1773"/>
      <c r="G36" s="1772" t="s">
        <v>294</v>
      </c>
      <c r="H36" s="1773"/>
      <c r="I36" s="1140"/>
    </row>
    <row r="37" spans="1:11" s="1134" customFormat="1" ht="14.1" customHeight="1" x14ac:dyDescent="0.3">
      <c r="A37" s="1780"/>
      <c r="B37" s="1781"/>
      <c r="C37" s="1781"/>
      <c r="D37" s="1782"/>
      <c r="E37" s="767" t="s">
        <v>414</v>
      </c>
      <c r="F37" s="1284" t="s">
        <v>413</v>
      </c>
      <c r="G37" s="768" t="s">
        <v>414</v>
      </c>
      <c r="H37" s="1284" t="s">
        <v>413</v>
      </c>
      <c r="I37" s="1140"/>
    </row>
    <row r="38" spans="1:11" s="1134" customFormat="1" ht="14.1" customHeight="1" x14ac:dyDescent="0.3">
      <c r="A38" s="1774" t="s">
        <v>295</v>
      </c>
      <c r="B38" s="1775"/>
      <c r="C38" s="1775"/>
      <c r="D38" s="1776"/>
      <c r="E38" s="1085">
        <v>2.75</v>
      </c>
      <c r="F38" s="1085">
        <v>203</v>
      </c>
      <c r="G38" s="1085">
        <v>2.72</v>
      </c>
      <c r="H38" s="1085">
        <v>151.09</v>
      </c>
      <c r="I38" s="1140"/>
    </row>
    <row r="39" spans="1:11" s="1134" customFormat="1" ht="14.1" customHeight="1" x14ac:dyDescent="0.3">
      <c r="A39" s="1774" t="s">
        <v>296</v>
      </c>
      <c r="B39" s="1775"/>
      <c r="C39" s="1775"/>
      <c r="D39" s="1776"/>
      <c r="E39" s="1085">
        <v>2.71</v>
      </c>
      <c r="F39" s="1085">
        <v>204</v>
      </c>
      <c r="G39" s="1085">
        <v>2.74</v>
      </c>
      <c r="H39" s="1085">
        <v>151.19999999999999</v>
      </c>
      <c r="I39" s="1140"/>
    </row>
    <row r="40" spans="1:11" s="1134" customFormat="1" ht="14.1" customHeight="1" x14ac:dyDescent="0.3">
      <c r="A40" s="1774" t="s">
        <v>297</v>
      </c>
      <c r="B40" s="1775"/>
      <c r="C40" s="1775"/>
      <c r="D40" s="1776"/>
      <c r="E40" s="1085">
        <v>3.16</v>
      </c>
      <c r="F40" s="1085">
        <v>219</v>
      </c>
      <c r="G40" s="1085">
        <v>3.18</v>
      </c>
      <c r="H40" s="1085">
        <v>177.6</v>
      </c>
      <c r="I40" s="1140"/>
    </row>
    <row r="41" spans="1:11" s="1134" customFormat="1" ht="14.1" customHeight="1" x14ac:dyDescent="0.3">
      <c r="A41" s="1774" t="s">
        <v>298</v>
      </c>
      <c r="B41" s="1775"/>
      <c r="C41" s="1775"/>
      <c r="D41" s="1776"/>
      <c r="E41" s="1085">
        <v>2.61</v>
      </c>
      <c r="F41" s="1085">
        <v>195</v>
      </c>
      <c r="G41" s="1085">
        <v>3.22</v>
      </c>
      <c r="H41" s="1085">
        <v>161.56</v>
      </c>
      <c r="I41" s="1140"/>
      <c r="K41" s="1166"/>
    </row>
    <row r="42" spans="1:11" s="1134" customFormat="1" ht="14.1" customHeight="1" x14ac:dyDescent="0.3">
      <c r="A42" s="1774" t="s">
        <v>299</v>
      </c>
      <c r="B42" s="1775"/>
      <c r="C42" s="1775"/>
      <c r="D42" s="1776"/>
      <c r="E42" s="1085">
        <v>2.71</v>
      </c>
      <c r="F42" s="1085">
        <v>210</v>
      </c>
      <c r="G42" s="1085">
        <v>2.75</v>
      </c>
      <c r="H42" s="1085">
        <v>150.84</v>
      </c>
      <c r="I42" s="1140"/>
    </row>
    <row r="43" spans="1:11" s="1134" customFormat="1" ht="14.1" customHeight="1" x14ac:dyDescent="0.3">
      <c r="A43" s="1783" t="s">
        <v>300</v>
      </c>
      <c r="B43" s="1784"/>
      <c r="C43" s="1784"/>
      <c r="D43" s="1785"/>
      <c r="E43" s="1146"/>
      <c r="F43" s="1146"/>
      <c r="G43" s="1146"/>
      <c r="H43" s="1146"/>
      <c r="I43" s="1140"/>
    </row>
    <row r="44" spans="1:11" s="1134" customFormat="1" ht="14.1" customHeight="1" x14ac:dyDescent="0.3">
      <c r="A44" s="1774" t="s">
        <v>296</v>
      </c>
      <c r="B44" s="1775"/>
      <c r="C44" s="1775"/>
      <c r="D44" s="1776"/>
      <c r="E44" s="1147">
        <f t="shared" ref="E44:H47" si="1">IF(E$38="","",ABS(E39-E$38)/E$38)</f>
        <v>1.4545454545454558E-2</v>
      </c>
      <c r="F44" s="1147">
        <f t="shared" si="1"/>
        <v>4.9261083743842365E-3</v>
      </c>
      <c r="G44" s="1147">
        <f t="shared" si="1"/>
        <v>7.3529411764705942E-3</v>
      </c>
      <c r="H44" s="1147">
        <f t="shared" si="1"/>
        <v>7.2804288834459735E-4</v>
      </c>
      <c r="I44" s="1140"/>
    </row>
    <row r="45" spans="1:11" s="1134" customFormat="1" ht="14.1" customHeight="1" x14ac:dyDescent="0.3">
      <c r="A45" s="1774" t="s">
        <v>297</v>
      </c>
      <c r="B45" s="1775"/>
      <c r="C45" s="1775"/>
      <c r="D45" s="1776"/>
      <c r="E45" s="1147">
        <f t="shared" si="1"/>
        <v>0.14909090909090914</v>
      </c>
      <c r="F45" s="1147">
        <f t="shared" si="1"/>
        <v>7.8817733990147784E-2</v>
      </c>
      <c r="G45" s="1147">
        <f t="shared" si="1"/>
        <v>0.16911764705882351</v>
      </c>
      <c r="H45" s="1147">
        <f t="shared" si="1"/>
        <v>0.17545833609107148</v>
      </c>
      <c r="I45" s="1140"/>
    </row>
    <row r="46" spans="1:11" s="1134" customFormat="1" ht="14.1" customHeight="1" x14ac:dyDescent="0.3">
      <c r="A46" s="1774" t="s">
        <v>298</v>
      </c>
      <c r="B46" s="1775"/>
      <c r="C46" s="1775"/>
      <c r="D46" s="1776"/>
      <c r="E46" s="1147">
        <f t="shared" si="1"/>
        <v>5.0909090909090952E-2</v>
      </c>
      <c r="F46" s="1147">
        <f t="shared" si="1"/>
        <v>3.9408866995073892E-2</v>
      </c>
      <c r="G46" s="1147">
        <f t="shared" si="1"/>
        <v>0.18382352941176469</v>
      </c>
      <c r="H46" s="1147">
        <f t="shared" si="1"/>
        <v>6.929644582699053E-2</v>
      </c>
      <c r="I46" s="1140"/>
    </row>
    <row r="47" spans="1:11" s="1134" customFormat="1" ht="14.1" customHeight="1" x14ac:dyDescent="0.3">
      <c r="A47" s="1774" t="s">
        <v>299</v>
      </c>
      <c r="B47" s="1775"/>
      <c r="C47" s="1775"/>
      <c r="D47" s="1776"/>
      <c r="E47" s="1147">
        <f t="shared" si="1"/>
        <v>1.4545454545454558E-2</v>
      </c>
      <c r="F47" s="1147">
        <f t="shared" si="1"/>
        <v>3.4482758620689655E-2</v>
      </c>
      <c r="G47" s="1147">
        <f t="shared" si="1"/>
        <v>1.102941176470581E-2</v>
      </c>
      <c r="H47" s="1147">
        <f t="shared" si="1"/>
        <v>1.6546429280561254E-3</v>
      </c>
      <c r="I47" s="1140"/>
    </row>
    <row r="48" spans="1:11" s="1134" customFormat="1" ht="14.1" customHeight="1" x14ac:dyDescent="0.3">
      <c r="A48" s="1774" t="s">
        <v>301</v>
      </c>
      <c r="B48" s="1775"/>
      <c r="C48" s="1775"/>
      <c r="D48" s="1776"/>
      <c r="E48" s="1147">
        <f>IF(E$38="","",MAX(E44:E47))</f>
        <v>0.14909090909090914</v>
      </c>
      <c r="F48" s="1147">
        <f>IF(F$38="","",MAX(F44:F47))</f>
        <v>7.8817733990147784E-2</v>
      </c>
      <c r="G48" s="1147">
        <f>IF(G$38="","",MAX(G44:G47))</f>
        <v>0.18382352941176469</v>
      </c>
      <c r="H48" s="1147">
        <f>IF(H$38="","",MAX(H44:H47))</f>
        <v>0.17545833609107148</v>
      </c>
      <c r="I48" s="1140"/>
    </row>
    <row r="49" spans="1:14" s="1134" customFormat="1" ht="14.1" customHeight="1" x14ac:dyDescent="0.3">
      <c r="A49" s="1163" t="s">
        <v>784</v>
      </c>
      <c r="C49" s="1135"/>
      <c r="D49" s="1135"/>
      <c r="E49" s="1796" t="s">
        <v>15</v>
      </c>
      <c r="F49" s="1797"/>
      <c r="G49" s="1796" t="s">
        <v>15</v>
      </c>
      <c r="H49" s="1797"/>
      <c r="I49" s="1140"/>
      <c r="L49" s="1149"/>
      <c r="N49" s="1133"/>
    </row>
    <row r="50" spans="1:14" s="1134" customFormat="1" ht="14.1" customHeight="1" x14ac:dyDescent="0.3">
      <c r="A50" s="1148" t="s">
        <v>830</v>
      </c>
      <c r="C50" s="1135"/>
      <c r="D50" s="1135"/>
      <c r="E50" s="1284" t="s">
        <v>16</v>
      </c>
      <c r="F50" s="1284" t="s">
        <v>17</v>
      </c>
      <c r="G50" s="1284" t="s">
        <v>16</v>
      </c>
      <c r="H50" s="1284" t="s">
        <v>17</v>
      </c>
      <c r="I50" s="1140"/>
      <c r="N50" s="1133"/>
    </row>
    <row r="51" spans="1:14" s="1134" customFormat="1" ht="14.1" customHeight="1" x14ac:dyDescent="0.3">
      <c r="A51" s="1150" t="s">
        <v>833</v>
      </c>
      <c r="B51" s="1139"/>
      <c r="C51" s="1139"/>
      <c r="D51" s="1151" t="s">
        <v>415</v>
      </c>
      <c r="E51" s="1144" t="str">
        <f>IF(E48="","",IF(AND(E48&lt;=15%,F48&lt;=15%),"X",""))</f>
        <v>X</v>
      </c>
      <c r="F51" s="1144" t="str">
        <f>IF(E48="","",IF(OR(F48&gt;15%,E48&gt;15%),"X",""))</f>
        <v/>
      </c>
      <c r="G51" s="1144" t="str">
        <f>IF(G48="","",IF(AND(G48&lt;=15%,H48&lt;=15%),"X",""))</f>
        <v/>
      </c>
      <c r="H51" s="1144" t="str">
        <f>IF(G48="","",IF(OR(H48&gt;15%,G48&gt;15%),"X",""))</f>
        <v>X</v>
      </c>
      <c r="I51" s="1078"/>
      <c r="N51" s="1133"/>
    </row>
    <row r="52" spans="1:14" s="1134" customFormat="1" ht="14.1" customHeight="1" x14ac:dyDescent="0.3">
      <c r="A52" s="1139"/>
      <c r="B52" s="1139"/>
      <c r="C52" s="1139"/>
      <c r="D52" s="1151"/>
      <c r="I52" s="1078"/>
      <c r="N52" s="1133"/>
    </row>
    <row r="53" spans="1:14" s="1134" customFormat="1" ht="14.1" customHeight="1" x14ac:dyDescent="0.3">
      <c r="B53" s="1139"/>
      <c r="C53" s="1139"/>
      <c r="D53" s="1139"/>
      <c r="I53" s="1140"/>
      <c r="N53" s="1133"/>
    </row>
    <row r="54" spans="1:14" ht="14.1" customHeight="1" x14ac:dyDescent="0.3">
      <c r="A54" s="698" t="s">
        <v>778</v>
      </c>
      <c r="B54" s="698"/>
      <c r="C54" s="698"/>
      <c r="D54" s="1786"/>
      <c r="E54" s="1786"/>
      <c r="F54" s="1786"/>
      <c r="G54" s="1786"/>
      <c r="H54" s="1786"/>
      <c r="I54" s="1132"/>
    </row>
    <row r="55" spans="1:14" ht="14.1" customHeight="1" x14ac:dyDescent="0.3">
      <c r="A55" s="1745"/>
      <c r="B55" s="1745"/>
      <c r="C55" s="1745"/>
      <c r="D55" s="1771"/>
      <c r="E55" s="1771"/>
      <c r="F55" s="1771"/>
      <c r="G55" s="1771"/>
      <c r="H55" s="1771"/>
      <c r="I55" s="1123" t="s">
        <v>490</v>
      </c>
    </row>
    <row r="56" spans="1:14" ht="14.1" customHeight="1" x14ac:dyDescent="0.3">
      <c r="A56" s="1759"/>
      <c r="B56" s="1759"/>
      <c r="C56" s="1759"/>
      <c r="D56" s="1759"/>
      <c r="E56" s="1759"/>
      <c r="F56" s="1759"/>
      <c r="G56" s="1759"/>
      <c r="H56" s="1759"/>
      <c r="I56" s="1083">
        <f>+COUNTIF(H51,"X")+COUNTIF(F22:F33,"X")+COUNTIF(F51,"X")+COUNTIF(H12:H16,"X")+COUNTIF(F12:F16,"X")+COUNTIF(H22:H33,"X")</f>
        <v>2</v>
      </c>
    </row>
    <row r="67" spans="1:8" x14ac:dyDescent="0.3">
      <c r="A67" s="1139"/>
      <c r="B67" s="1139"/>
      <c r="C67" s="1139"/>
      <c r="D67" s="1139"/>
      <c r="F67" s="1152"/>
      <c r="G67" s="1152"/>
      <c r="H67" s="1152"/>
    </row>
  </sheetData>
  <sheetProtection algorithmName="SHA-512" hashValue="oKhX0dzSfIfrHJY7AOpUJFivAlOKBhamYtosVZ/kkFJ7nh/WWcsVb/ARQOefvR7oMMQ1tOTaCd/oHtCzJ34ajw==" saltValue="qDTpCdi+uL+EpR1GgaZZ4Q==" spinCount="100000" sheet="1" objects="1" scenarios="1"/>
  <mergeCells count="44">
    <mergeCell ref="A12:D12"/>
    <mergeCell ref="E5:H5"/>
    <mergeCell ref="E6:H6"/>
    <mergeCell ref="A9:D11"/>
    <mergeCell ref="E10:F10"/>
    <mergeCell ref="G10:H10"/>
    <mergeCell ref="A13:D13"/>
    <mergeCell ref="A14:D14"/>
    <mergeCell ref="A15:D15"/>
    <mergeCell ref="A16:C16"/>
    <mergeCell ref="A19:D20"/>
    <mergeCell ref="A32:D32"/>
    <mergeCell ref="G20:H20"/>
    <mergeCell ref="A21:D21"/>
    <mergeCell ref="A22:D22"/>
    <mergeCell ref="A24:D24"/>
    <mergeCell ref="A25:D25"/>
    <mergeCell ref="A26:D26"/>
    <mergeCell ref="E20:F20"/>
    <mergeCell ref="A27:D27"/>
    <mergeCell ref="A28:D28"/>
    <mergeCell ref="A29:D29"/>
    <mergeCell ref="A30:D30"/>
    <mergeCell ref="A31:D31"/>
    <mergeCell ref="A45:D45"/>
    <mergeCell ref="A33:D33"/>
    <mergeCell ref="A36:D37"/>
    <mergeCell ref="E36:F36"/>
    <mergeCell ref="G36:H36"/>
    <mergeCell ref="A38:D38"/>
    <mergeCell ref="A39:D39"/>
    <mergeCell ref="A40:D40"/>
    <mergeCell ref="A41:D41"/>
    <mergeCell ref="A42:D42"/>
    <mergeCell ref="A43:D43"/>
    <mergeCell ref="A44:D44"/>
    <mergeCell ref="A55:H55"/>
    <mergeCell ref="A56:H56"/>
    <mergeCell ref="A46:D46"/>
    <mergeCell ref="A47:D47"/>
    <mergeCell ref="A48:D48"/>
    <mergeCell ref="E49:F49"/>
    <mergeCell ref="G49:H49"/>
    <mergeCell ref="D54:H54"/>
  </mergeCells>
  <conditionalFormatting sqref="E44:H48">
    <cfRule type="cellIs" dxfId="56" priority="1" operator="greaterThan">
      <formula>0.15</formula>
    </cfRule>
  </conditionalFormatting>
  <dataValidations count="4">
    <dataValidation type="list" allowBlank="1" showInputMessage="1" showErrorMessage="1" sqref="F9 H9" xr:uid="{56E36291-F7B0-442B-8A77-6D103030286E}">
      <formula1>$K$21:$K$28</formula1>
    </dataValidation>
    <dataValidation type="list" allowBlank="1" showInputMessage="1" showErrorMessage="1" sqref="E9 G9" xr:uid="{CA2F06F0-EE0E-453C-B312-50D1EF7336E1}">
      <formula1>$N$12:$N$15</formula1>
    </dataValidation>
    <dataValidation type="list" allowBlank="1" showInputMessage="1" showErrorMessage="1" sqref="E6:H6" xr:uid="{CE4AEC3F-6B77-4271-A277-517D62E8D786}">
      <formula1>$N$5:$N$6</formula1>
    </dataValidation>
    <dataValidation type="list" allowBlank="1" showInputMessage="1" showErrorMessage="1" sqref="E5:H5" xr:uid="{D852B24E-BF09-4435-A21E-C4B382A8577E}">
      <formula1>$K$2:$K$18</formula1>
    </dataValidation>
  </dataValidations>
  <printOptions horizontalCentered="1"/>
  <pageMargins left="0.70866141732283472" right="0.70866141732283472" top="0.74803149606299213" bottom="0.74803149606299213" header="0.31496062992125984" footer="0.31496062992125984"/>
  <pageSetup paperSize="120" scale="79" firstPageNumber="11" orientation="portrait" r:id="rId1"/>
  <headerFooter>
    <oddFooter>&amp;CPage &amp;P de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D92BF-4ABF-4634-981C-3A3BD1E92E8B}">
  <sheetPr>
    <tabColor theme="5" tint="-0.249977111117893"/>
    <pageSetUpPr fitToPage="1"/>
  </sheetPr>
  <dimension ref="A1:AN59"/>
  <sheetViews>
    <sheetView topLeftCell="A21" zoomScaleNormal="100" workbookViewId="0">
      <selection activeCell="L38" sqref="L38"/>
    </sheetView>
  </sheetViews>
  <sheetFormatPr baseColWidth="10" defaultColWidth="10.6640625" defaultRowHeight="14.4" x14ac:dyDescent="0.3"/>
  <cols>
    <col min="1" max="2" width="10.6640625" style="1075"/>
    <col min="3" max="3" width="5.77734375" style="1075" customWidth="1"/>
    <col min="4" max="4" width="13.6640625" style="1075" customWidth="1"/>
    <col min="5" max="7" width="10.6640625" style="1075"/>
    <col min="8" max="8" width="14.33203125" style="1075" customWidth="1"/>
    <col min="9" max="10" width="10.6640625" style="1075"/>
    <col min="11" max="11" width="8.6640625" style="1075" customWidth="1"/>
    <col min="12" max="12" width="26.6640625" style="1075" customWidth="1"/>
    <col min="13" max="13" width="10.6640625" style="1075"/>
    <col min="14" max="14" width="11.33203125" style="1075" bestFit="1" customWidth="1"/>
    <col min="15" max="21" width="10.6640625" style="1075"/>
    <col min="22" max="22" width="5.6640625" style="1075" customWidth="1"/>
    <col min="23" max="16384" width="10.6640625" style="1075"/>
  </cols>
  <sheetData>
    <row r="1" spans="1:40" x14ac:dyDescent="0.3">
      <c r="A1" s="341" t="s">
        <v>753</v>
      </c>
      <c r="B1" s="342"/>
      <c r="C1" s="958"/>
      <c r="D1" s="343" t="str">
        <f>+Info!C10</f>
        <v>Clinique Ste-Mammo</v>
      </c>
      <c r="E1" s="342"/>
      <c r="F1" s="342"/>
      <c r="G1" s="342"/>
      <c r="H1" s="344" t="s">
        <v>755</v>
      </c>
      <c r="I1" s="342"/>
      <c r="J1" s="345" t="str">
        <f>+Info!C37</f>
        <v>20-01-2020</v>
      </c>
      <c r="K1" s="1086"/>
      <c r="L1" s="1075" t="s">
        <v>449</v>
      </c>
      <c r="X1" s="1087" t="s">
        <v>351</v>
      </c>
      <c r="Y1" s="1088">
        <v>-1.3011877000000001</v>
      </c>
      <c r="Z1" s="1087" t="s">
        <v>361</v>
      </c>
      <c r="AA1" s="1088">
        <v>2.874562E-2</v>
      </c>
      <c r="AC1" s="1087"/>
      <c r="AD1" s="1087"/>
      <c r="AE1" s="1087" t="s">
        <v>352</v>
      </c>
      <c r="AF1" s="1089">
        <v>71.498068000000004</v>
      </c>
      <c r="AG1" s="1087" t="s">
        <v>360</v>
      </c>
      <c r="AH1" s="1087">
        <v>0.28175407000000002</v>
      </c>
      <c r="AI1" s="1087" t="s">
        <v>385</v>
      </c>
      <c r="AJ1" s="1087"/>
      <c r="AK1" s="1087"/>
      <c r="AL1" s="1087"/>
      <c r="AM1" s="1087"/>
      <c r="AN1" s="1087"/>
    </row>
    <row r="2" spans="1:40" x14ac:dyDescent="0.3">
      <c r="A2" s="346" t="s">
        <v>754</v>
      </c>
      <c r="B2" s="347"/>
      <c r="C2" s="347"/>
      <c r="D2" s="1202" t="str">
        <f>+Info!C21</f>
        <v>Salle 2, Hirad IV</v>
      </c>
      <c r="E2" s="347"/>
      <c r="F2" s="347"/>
      <c r="G2" s="347"/>
      <c r="H2" s="348" t="s">
        <v>756</v>
      </c>
      <c r="I2" s="347"/>
      <c r="J2" s="349" t="str">
        <f>+Info!C35</f>
        <v>Alexandre Toussaint</v>
      </c>
      <c r="K2" s="1086"/>
      <c r="L2" s="350" t="str">
        <f>Éqpmt!B35</f>
        <v>bureau Dr Xxx (console #3)</v>
      </c>
      <c r="X2" s="1087" t="s">
        <v>353</v>
      </c>
      <c r="Y2" s="1088">
        <v>-2.5840190999999998E-2</v>
      </c>
      <c r="Z2" s="1087" t="s">
        <v>363</v>
      </c>
      <c r="AA2" s="1088">
        <v>-2.5468404E-2</v>
      </c>
      <c r="AC2" s="1087"/>
      <c r="AD2" s="1087"/>
      <c r="AE2" s="1087" t="s">
        <v>354</v>
      </c>
      <c r="AF2" s="1087">
        <v>94.593052999999998</v>
      </c>
      <c r="AG2" s="1087" t="s">
        <v>362</v>
      </c>
      <c r="AH2" s="1087">
        <v>-1.1878455000000001</v>
      </c>
      <c r="AI2" s="1087"/>
      <c r="AJ2" s="1087"/>
      <c r="AK2" s="1090" t="s">
        <v>386</v>
      </c>
      <c r="AL2" s="1087">
        <f>(AH26-AH9)/AF26</f>
        <v>0.15550028793269588</v>
      </c>
      <c r="AM2" s="1087"/>
      <c r="AN2" s="1087"/>
    </row>
    <row r="3" spans="1:40" ht="14.1" customHeight="1" x14ac:dyDescent="0.3">
      <c r="K3" s="1080"/>
      <c r="L3" s="1091" t="str">
        <f>Éqpmt!E35</f>
        <v>bureau Dr Xxx (console #3)</v>
      </c>
      <c r="P3" s="1079" t="s">
        <v>403</v>
      </c>
      <c r="Q3" s="1079"/>
      <c r="X3" s="1087" t="s">
        <v>355</v>
      </c>
      <c r="Y3" s="1088">
        <v>8.0242636000000006E-2</v>
      </c>
      <c r="Z3" s="1087" t="s">
        <v>365</v>
      </c>
      <c r="AA3" s="1088">
        <v>-3.1978977000000001E-3</v>
      </c>
      <c r="AC3" s="1087"/>
      <c r="AD3" s="1087"/>
      <c r="AE3" s="1087" t="s">
        <v>356</v>
      </c>
      <c r="AF3" s="1087">
        <v>41.912053</v>
      </c>
      <c r="AG3" s="1087" t="s">
        <v>364</v>
      </c>
      <c r="AH3" s="1087">
        <v>-0.18014348999999999</v>
      </c>
      <c r="AI3" s="1087"/>
      <c r="AJ3" s="1087"/>
      <c r="AK3" s="1090" t="s">
        <v>387</v>
      </c>
      <c r="AL3" s="1092">
        <f>AH9</f>
        <v>71.498068000000004</v>
      </c>
      <c r="AM3" s="1087"/>
      <c r="AN3" s="1087"/>
    </row>
    <row r="4" spans="1:40" ht="14.1" customHeight="1" x14ac:dyDescent="0.3">
      <c r="A4" s="1093" t="s">
        <v>831</v>
      </c>
      <c r="G4" s="1125" t="s">
        <v>769</v>
      </c>
      <c r="H4" s="1814" t="s">
        <v>588</v>
      </c>
      <c r="I4" s="1815"/>
      <c r="J4" s="1816"/>
      <c r="K4" s="1080"/>
      <c r="L4" s="1091" t="str">
        <f>Éqpmt!B42</f>
        <v>salle 5043</v>
      </c>
      <c r="P4" s="1079" t="s">
        <v>291</v>
      </c>
      <c r="Q4" s="1079" t="s">
        <v>271</v>
      </c>
      <c r="X4" s="1087" t="s">
        <v>357</v>
      </c>
      <c r="Y4" s="1088">
        <v>-0.10320229</v>
      </c>
      <c r="Z4" s="1087" t="s">
        <v>367</v>
      </c>
      <c r="AA4" s="1088">
        <v>1.2992634000000001E-4</v>
      </c>
      <c r="AC4" s="1087"/>
      <c r="AD4" s="1087"/>
      <c r="AE4" s="1087" t="s">
        <v>358</v>
      </c>
      <c r="AF4" s="1087">
        <v>9.8247003999999993</v>
      </c>
      <c r="AG4" s="1087" t="s">
        <v>366</v>
      </c>
      <c r="AH4" s="1087">
        <v>0.14710899</v>
      </c>
      <c r="AI4" s="1087"/>
      <c r="AJ4" s="1087"/>
      <c r="AK4" s="1087"/>
      <c r="AL4" s="1087"/>
      <c r="AM4" s="1087"/>
      <c r="AN4" s="1087"/>
    </row>
    <row r="5" spans="1:40" ht="14.1" customHeight="1" x14ac:dyDescent="0.3">
      <c r="A5" s="1094" t="s">
        <v>302</v>
      </c>
      <c r="H5" s="1822"/>
      <c r="I5" s="1822"/>
      <c r="J5" s="1822"/>
      <c r="K5" s="1080"/>
      <c r="L5" s="1091" t="str">
        <f>Éqpmt!E42</f>
        <v>salle 5043</v>
      </c>
      <c r="P5" s="1079" t="s">
        <v>290</v>
      </c>
      <c r="Q5" s="1079" t="s">
        <v>405</v>
      </c>
      <c r="X5" s="1087" t="s">
        <v>359</v>
      </c>
      <c r="Y5" s="1088">
        <v>0.13646699000000001</v>
      </c>
      <c r="Z5" s="1087" t="s">
        <v>369</v>
      </c>
      <c r="AA5" s="1088">
        <v>1.3635334E-3</v>
      </c>
      <c r="AC5" s="1087"/>
      <c r="AD5" s="1087"/>
      <c r="AG5" s="1087" t="s">
        <v>368</v>
      </c>
      <c r="AH5" s="1087">
        <v>-1.7046845000000001E-2</v>
      </c>
      <c r="AI5" s="1087"/>
      <c r="AJ5" s="1087"/>
      <c r="AK5" s="1087"/>
      <c r="AL5" s="1087"/>
      <c r="AM5" s="1087"/>
      <c r="AN5" s="1087"/>
    </row>
    <row r="6" spans="1:40" ht="14.1" customHeight="1" x14ac:dyDescent="0.3">
      <c r="I6" s="1304" t="s">
        <v>836</v>
      </c>
      <c r="K6" s="1080"/>
      <c r="L6" s="1091" t="str">
        <f>Éqpmt!B49</f>
        <v>bureau Dr Ladouceur</v>
      </c>
      <c r="P6" s="1079" t="s">
        <v>406</v>
      </c>
      <c r="Q6" s="1079"/>
      <c r="Z6" s="1087"/>
      <c r="AC6" s="1087"/>
      <c r="AD6" s="1087"/>
      <c r="AG6" s="1087"/>
      <c r="AH6" s="1087"/>
      <c r="AI6" s="1087"/>
      <c r="AJ6" s="1087"/>
      <c r="AK6" s="1087"/>
      <c r="AL6" s="1087"/>
      <c r="AM6" s="1087"/>
      <c r="AN6" s="1087"/>
    </row>
    <row r="7" spans="1:40" ht="14.1" customHeight="1" x14ac:dyDescent="0.3">
      <c r="A7" s="1817" t="s">
        <v>303</v>
      </c>
      <c r="B7" s="1818"/>
      <c r="C7" s="959"/>
      <c r="D7" s="1823" t="s">
        <v>835</v>
      </c>
      <c r="E7" s="1823"/>
      <c r="F7" s="1823"/>
      <c r="G7" s="1824"/>
      <c r="H7" s="514" t="s">
        <v>291</v>
      </c>
      <c r="I7" s="1124">
        <v>7654</v>
      </c>
      <c r="J7" s="1126" t="s">
        <v>271</v>
      </c>
      <c r="K7" s="1080"/>
      <c r="L7" s="1091" t="str">
        <f>Éqpmt!E49</f>
        <v>bureau Dr Ladouceur</v>
      </c>
      <c r="O7" s="1095"/>
      <c r="P7" s="1079" t="s">
        <v>475</v>
      </c>
      <c r="Q7" s="1095"/>
      <c r="R7" s="1095"/>
      <c r="S7" s="1095"/>
      <c r="X7" s="1087"/>
      <c r="Y7" s="1087"/>
      <c r="Z7" s="1087"/>
      <c r="AA7" s="1087"/>
      <c r="AB7" s="1087"/>
      <c r="AC7" s="1087"/>
      <c r="AD7" s="1087"/>
      <c r="AE7" s="1095" t="s">
        <v>370</v>
      </c>
      <c r="AF7" s="1095"/>
      <c r="AG7" s="1095" t="s">
        <v>371</v>
      </c>
      <c r="AH7" s="1095" t="s">
        <v>372</v>
      </c>
      <c r="AI7" s="1087"/>
      <c r="AJ7" s="1095"/>
      <c r="AK7" s="1095"/>
      <c r="AL7" s="1095"/>
      <c r="AM7" s="1095"/>
      <c r="AN7" s="1095"/>
    </row>
    <row r="8" spans="1:40" ht="14.1" customHeight="1" x14ac:dyDescent="0.3">
      <c r="A8" s="1099" t="s">
        <v>304</v>
      </c>
      <c r="B8" s="1097" t="s">
        <v>409</v>
      </c>
      <c r="C8" s="139" t="s">
        <v>914</v>
      </c>
      <c r="K8" s="1080"/>
      <c r="L8" s="1091" t="str">
        <f>Éqpmt!B57</f>
        <v>technologue</v>
      </c>
      <c r="M8" s="1075" t="str">
        <f>H7</f>
        <v>Droit</v>
      </c>
      <c r="O8" s="1098"/>
      <c r="P8" s="1122"/>
      <c r="Q8" s="1095"/>
      <c r="R8" s="1098"/>
      <c r="S8" s="1098"/>
      <c r="X8" s="1095" t="s">
        <v>374</v>
      </c>
      <c r="Y8" s="1095" t="s">
        <v>375</v>
      </c>
      <c r="Z8" s="1095"/>
      <c r="AA8" s="1095" t="s">
        <v>376</v>
      </c>
      <c r="AB8" s="1095" t="s">
        <v>377</v>
      </c>
      <c r="AC8" s="1095" t="s">
        <v>378</v>
      </c>
      <c r="AD8" s="1087"/>
      <c r="AE8" s="1095" t="s">
        <v>379</v>
      </c>
      <c r="AF8" s="1095" t="s">
        <v>380</v>
      </c>
      <c r="AG8" s="1095" t="s">
        <v>376</v>
      </c>
      <c r="AH8" s="1095" t="s">
        <v>377</v>
      </c>
      <c r="AI8" s="1087"/>
      <c r="AJ8" s="1098"/>
      <c r="AK8" s="1098"/>
      <c r="AL8" s="1095"/>
      <c r="AM8" s="1098"/>
      <c r="AN8" s="1098"/>
    </row>
    <row r="9" spans="1:40" ht="14.1" customHeight="1" x14ac:dyDescent="0.3">
      <c r="A9" s="1129">
        <v>1</v>
      </c>
      <c r="B9" s="1156">
        <v>1</v>
      </c>
      <c r="C9" s="1278"/>
      <c r="K9" s="1320">
        <f>B9+0.2</f>
        <v>1.2</v>
      </c>
      <c r="L9" s="1091" t="str">
        <f>Éqpmt!E57</f>
        <v>appareil</v>
      </c>
      <c r="M9" s="351" t="s">
        <v>407</v>
      </c>
      <c r="N9" s="351" t="s">
        <v>408</v>
      </c>
      <c r="O9" s="352" t="s">
        <v>381</v>
      </c>
      <c r="P9" s="352" t="s">
        <v>382</v>
      </c>
      <c r="Q9" s="351"/>
      <c r="R9" s="352" t="s">
        <v>383</v>
      </c>
      <c r="S9" s="352" t="s">
        <v>384</v>
      </c>
      <c r="T9" s="353" t="s">
        <v>410</v>
      </c>
      <c r="U9" s="354" t="s">
        <v>411</v>
      </c>
      <c r="V9" s="1099"/>
      <c r="X9" s="1092">
        <f>AH9</f>
        <v>71.498068000000004</v>
      </c>
      <c r="Y9" s="1100">
        <f>10^((Y1+Y3*LN(X9)+Y5*LN(X9)^2+AA2*LN(X9)^3+ AA5*LN(X9)^4)/(1+Y2*LN(X9)+Y4*LN(X9)^2+AA1*LN(X9)^3+AA3*LN(X9)^4+AA4*LN(X9)^5))</f>
        <v>1.0000485103406374</v>
      </c>
      <c r="Z9" s="1087"/>
      <c r="AA9" s="1100">
        <f>B9</f>
        <v>1</v>
      </c>
      <c r="AB9" s="1092">
        <f>AF1+AF2*LOG10(AA9)+AF3*LOG10(AA9)^2+AF4*LOG10(AA9)^3+AH1*LOG10(AA9)^4+AH2*LOG(AA9)^5+AH3*LOG10(AA9)^6+AH4*LOG10(AA9)^7+AH5*LOG10(AA9)^8</f>
        <v>71.498068000000004</v>
      </c>
      <c r="AC9" s="1087"/>
      <c r="AD9" s="1087"/>
      <c r="AE9" s="1087">
        <v>1</v>
      </c>
      <c r="AF9" s="1087">
        <v>0</v>
      </c>
      <c r="AG9" s="1100">
        <f>AA9</f>
        <v>1</v>
      </c>
      <c r="AH9" s="1101">
        <f>AB9</f>
        <v>71.498068000000004</v>
      </c>
      <c r="AI9" s="1087"/>
      <c r="AJ9" s="1087"/>
      <c r="AK9" s="1087"/>
      <c r="AL9" s="1087"/>
      <c r="AM9" s="1087"/>
      <c r="AN9" s="1087"/>
    </row>
    <row r="10" spans="1:40" ht="14.1" customHeight="1" x14ac:dyDescent="0.3">
      <c r="A10" s="1129">
        <v>2</v>
      </c>
      <c r="B10" s="1156">
        <v>1.67</v>
      </c>
      <c r="C10" s="1278">
        <f>W10</f>
        <v>-0.32509444046932778</v>
      </c>
      <c r="K10" s="1080"/>
      <c r="L10" s="1102" t="s">
        <v>179</v>
      </c>
      <c r="M10" s="1103">
        <f>AF10</f>
        <v>240</v>
      </c>
      <c r="N10" s="1104">
        <f>AC10</f>
        <v>0.50187265917602997</v>
      </c>
      <c r="O10" s="1105">
        <f t="shared" ref="O10:O26" si="0">Q10*1.2</f>
        <v>0.89234291006587241</v>
      </c>
      <c r="P10" s="1105">
        <f t="shared" ref="P10:P26" si="1">Q10*1.1</f>
        <v>0.8179810008937165</v>
      </c>
      <c r="Q10" s="1106">
        <f>2*($AG10-$AG9)/($AG10+$AG9)</f>
        <v>0.74361909172156038</v>
      </c>
      <c r="R10" s="1105">
        <f t="shared" ref="R10:R26" si="2">Q10*0.9</f>
        <v>0.66925718254940436</v>
      </c>
      <c r="S10" s="1105">
        <f t="shared" ref="S10:S26" si="3">Q10*0.8</f>
        <v>0.59489527337724835</v>
      </c>
      <c r="T10" s="1107">
        <f>IF(AND(N10&lt;=P10,N10&gt;=R10),0,1)</f>
        <v>1</v>
      </c>
      <c r="U10" s="355">
        <f>IF(AND(N10&lt;=O10,N10&gt;=S10),0,1)</f>
        <v>1</v>
      </c>
      <c r="V10" s="1099">
        <f>IF(AND(N10&lt;=P10,N10&gt;=R10),1,0)</f>
        <v>0</v>
      </c>
      <c r="W10" s="1279">
        <f>($N10-$Q10)/$Q10</f>
        <v>-0.32509444046932778</v>
      </c>
      <c r="X10" s="1092">
        <f t="shared" ref="X10:X26" si="4">AH10</f>
        <v>108.81813710384702</v>
      </c>
      <c r="Y10" s="1100">
        <f>10^((Y1+Y3*LN(X10)+Y5*LN(X10)^2+AA2*LN(X10)^3+ AA5*LN(X10)^4)/(1+Y2*LN(X10)+Y4*LN(X10)^2+AA1*LN(X10)^3+AA3*LN(X10)^4+AA4*LN(X10)^5))</f>
        <v>2.1837478376530046</v>
      </c>
      <c r="Z10" s="1087"/>
      <c r="AA10" s="1100">
        <f t="shared" ref="AA10:AA26" si="5">B10</f>
        <v>1.67</v>
      </c>
      <c r="AB10" s="1092"/>
      <c r="AC10" s="1092">
        <f>(AA10-AA9)*2/(AA10+AA9)</f>
        <v>0.50187265917602997</v>
      </c>
      <c r="AD10" s="1087"/>
      <c r="AE10" s="1087">
        <v>2</v>
      </c>
      <c r="AF10" s="1087">
        <v>240</v>
      </c>
      <c r="AG10" s="1100">
        <f>Y10</f>
        <v>2.1837478376530046</v>
      </c>
      <c r="AH10" s="1092">
        <f>AL2*AF10+AH9</f>
        <v>108.81813710384702</v>
      </c>
      <c r="AI10" s="1087"/>
      <c r="AJ10" s="1092"/>
      <c r="AK10" s="1092"/>
      <c r="AL10" s="1092"/>
      <c r="AM10" s="1092"/>
      <c r="AN10" s="1092"/>
    </row>
    <row r="11" spans="1:40" ht="14.1" customHeight="1" x14ac:dyDescent="0.3">
      <c r="A11" s="1129">
        <v>3</v>
      </c>
      <c r="B11" s="1156">
        <v>3.37</v>
      </c>
      <c r="C11" s="1278">
        <f t="shared" ref="C11:C26" si="6">W11</f>
        <v>0.13793462267653153</v>
      </c>
      <c r="K11" s="1080"/>
      <c r="L11" s="1102" t="s">
        <v>180</v>
      </c>
      <c r="M11" s="1103">
        <f t="shared" ref="M11:M26" si="7">AF11</f>
        <v>480</v>
      </c>
      <c r="N11" s="1104">
        <f t="shared" ref="N11:N26" si="8">AC11</f>
        <v>0.67460317460317465</v>
      </c>
      <c r="O11" s="1105">
        <f t="shared" si="0"/>
        <v>0.71139746817768124</v>
      </c>
      <c r="P11" s="1105">
        <f t="shared" si="1"/>
        <v>0.6521143458295412</v>
      </c>
      <c r="Q11" s="1106">
        <f t="shared" ref="Q11:Q26" si="9">2*($AG11-$AG10)/($AG11+$AG10)</f>
        <v>0.59283122348140105</v>
      </c>
      <c r="R11" s="1105">
        <f t="shared" si="2"/>
        <v>0.53354810113326101</v>
      </c>
      <c r="S11" s="1105">
        <f t="shared" si="3"/>
        <v>0.47426497878512086</v>
      </c>
      <c r="T11" s="1107">
        <f t="shared" ref="T11:T26" si="10">IF(AND(N11&lt;=P11,N11&gt;=R11),0,1)</f>
        <v>1</v>
      </c>
      <c r="U11" s="355">
        <f t="shared" ref="U11:U26" si="11">IF(AND(N11&lt;=O11,N11&gt;=S11),0,1)</f>
        <v>0</v>
      </c>
      <c r="V11" s="1099">
        <f t="shared" ref="V11:V26" si="12">IF(AND(N11&lt;=P11,N11&gt;=R11),1,0)</f>
        <v>0</v>
      </c>
      <c r="W11" s="1279">
        <f t="shared" ref="W11:W26" si="13">($N11-$Q11)/$Q11</f>
        <v>0.13793462267653153</v>
      </c>
      <c r="X11" s="1092">
        <f t="shared" si="4"/>
        <v>146.13820620769403</v>
      </c>
      <c r="Y11" s="1100">
        <f>10^((Y1+Y3*LN(X11)+Y5*LN(X11)^2+AA2*LN(X11)^3+ AA5*LN(X11)^4)/(1+Y2*LN(X11)+Y4*LN(X11)^2+AA1*LN(X11)^3+AA3*LN(X11)^4+AA4*LN(X11)^5))</f>
        <v>4.0237458876006169</v>
      </c>
      <c r="Z11" s="1087"/>
      <c r="AA11" s="1100">
        <f t="shared" si="5"/>
        <v>3.37</v>
      </c>
      <c r="AB11" s="1092"/>
      <c r="AC11" s="1092">
        <f t="shared" ref="AC11:AC26" si="14">(AA11-AA10)*2/(AA11+AA10)</f>
        <v>0.67460317460317465</v>
      </c>
      <c r="AD11" s="1087"/>
      <c r="AE11" s="1087">
        <v>3</v>
      </c>
      <c r="AF11" s="1087">
        <v>480</v>
      </c>
      <c r="AG11" s="1100">
        <f t="shared" ref="AG11:AG25" si="15">Y11</f>
        <v>4.0237458876006169</v>
      </c>
      <c r="AH11" s="1092">
        <f>AL2*AF11+AH9</f>
        <v>146.13820620769403</v>
      </c>
      <c r="AI11" s="1087"/>
      <c r="AJ11" s="1092"/>
      <c r="AK11" s="1092"/>
      <c r="AL11" s="1092"/>
      <c r="AM11" s="1092"/>
      <c r="AN11" s="1092"/>
    </row>
    <row r="12" spans="1:40" ht="14.1" customHeight="1" x14ac:dyDescent="0.3">
      <c r="A12" s="1129">
        <v>4</v>
      </c>
      <c r="B12" s="1156">
        <v>5.97</v>
      </c>
      <c r="C12" s="1278">
        <f t="shared" si="6"/>
        <v>0.11437648482176349</v>
      </c>
      <c r="K12" s="1080"/>
      <c r="L12" s="1102" t="s">
        <v>181</v>
      </c>
      <c r="M12" s="1103">
        <f t="shared" si="7"/>
        <v>720</v>
      </c>
      <c r="N12" s="1104">
        <f t="shared" si="8"/>
        <v>0.55674518201284795</v>
      </c>
      <c r="O12" s="1105">
        <f t="shared" si="0"/>
        <v>0.59952289689805716</v>
      </c>
      <c r="P12" s="1105">
        <f t="shared" si="1"/>
        <v>0.54956265548988581</v>
      </c>
      <c r="Q12" s="1106">
        <f t="shared" si="9"/>
        <v>0.49960241408171435</v>
      </c>
      <c r="R12" s="1105">
        <f t="shared" si="2"/>
        <v>0.44964217267354295</v>
      </c>
      <c r="S12" s="1105">
        <f t="shared" si="3"/>
        <v>0.39968193126537149</v>
      </c>
      <c r="T12" s="1107">
        <f t="shared" si="10"/>
        <v>1</v>
      </c>
      <c r="U12" s="355">
        <f t="shared" si="11"/>
        <v>0</v>
      </c>
      <c r="V12" s="1099">
        <f t="shared" si="12"/>
        <v>0</v>
      </c>
      <c r="W12" s="1279">
        <f t="shared" si="13"/>
        <v>0.11437648482176349</v>
      </c>
      <c r="X12" s="1092">
        <f t="shared" si="4"/>
        <v>183.45827531154106</v>
      </c>
      <c r="Y12" s="1100">
        <f>10^((Y1+Y3*LN(X12)+Y5*LN(X12)^2+AA2*LN(X12)^3+ AA5*LN(X12)^4)/(1+Y2*LN(X12)+Y4*LN(X12)^2+AA1*LN(X12)^3+AA3*LN(X12)^4+AA4*LN(X12)^5))</f>
        <v>6.7033998379451116</v>
      </c>
      <c r="Z12" s="1087"/>
      <c r="AA12" s="1100">
        <f t="shared" si="5"/>
        <v>5.97</v>
      </c>
      <c r="AB12" s="1092"/>
      <c r="AC12" s="1092">
        <f t="shared" si="14"/>
        <v>0.55674518201284795</v>
      </c>
      <c r="AD12" s="1087"/>
      <c r="AE12" s="1087">
        <v>4</v>
      </c>
      <c r="AF12" s="1087">
        <v>720</v>
      </c>
      <c r="AG12" s="1100">
        <f t="shared" si="15"/>
        <v>6.7033998379451116</v>
      </c>
      <c r="AH12" s="1092">
        <f>AL2*AF12+AH9</f>
        <v>183.45827531154106</v>
      </c>
      <c r="AI12" s="1087"/>
      <c r="AJ12" s="1092"/>
      <c r="AK12" s="1092"/>
      <c r="AL12" s="1092"/>
      <c r="AM12" s="1092"/>
      <c r="AN12" s="1092"/>
    </row>
    <row r="13" spans="1:40" ht="14.1" customHeight="1" x14ac:dyDescent="0.3">
      <c r="A13" s="1129">
        <v>5</v>
      </c>
      <c r="B13" s="1156">
        <v>9.42</v>
      </c>
      <c r="C13" s="1278">
        <f t="shared" si="6"/>
        <v>2.5511507855507969E-2</v>
      </c>
      <c r="K13" s="1080"/>
      <c r="L13" s="1102" t="s">
        <v>182</v>
      </c>
      <c r="M13" s="1103">
        <f t="shared" si="7"/>
        <v>960</v>
      </c>
      <c r="N13" s="1104">
        <f t="shared" si="8"/>
        <v>0.44834307992202732</v>
      </c>
      <c r="O13" s="1105">
        <f t="shared" si="0"/>
        <v>0.5246276534053651</v>
      </c>
      <c r="P13" s="1105">
        <f t="shared" si="1"/>
        <v>0.4809086822882514</v>
      </c>
      <c r="Q13" s="1106">
        <f t="shared" si="9"/>
        <v>0.43718971117113758</v>
      </c>
      <c r="R13" s="1105">
        <f t="shared" si="2"/>
        <v>0.39347074005402383</v>
      </c>
      <c r="S13" s="1105">
        <f t="shared" si="3"/>
        <v>0.34975176893691007</v>
      </c>
      <c r="T13" s="1107">
        <f t="shared" si="10"/>
        <v>0</v>
      </c>
      <c r="U13" s="355">
        <f t="shared" si="11"/>
        <v>0</v>
      </c>
      <c r="V13" s="1099">
        <f t="shared" si="12"/>
        <v>1</v>
      </c>
      <c r="W13" s="1279">
        <f t="shared" si="13"/>
        <v>2.5511507855507969E-2</v>
      </c>
      <c r="X13" s="1092">
        <f t="shared" si="4"/>
        <v>220.77834441538806</v>
      </c>
      <c r="Y13" s="1100">
        <f>10^((Y1+Y3*LN(X13)+Y5*LN(X13)^2+AA2*LN(X13)^3+ AA5*LN(X13)^4)/(1+Y2*LN(X13)+Y4*LN(X13)^2+AA1*LN(X13)^3+AA3*LN(X13)^4+AA4*LN(X13)^5))</f>
        <v>10.453896568053086</v>
      </c>
      <c r="Z13" s="1087"/>
      <c r="AA13" s="1100">
        <f t="shared" si="5"/>
        <v>9.42</v>
      </c>
      <c r="AB13" s="1092"/>
      <c r="AC13" s="1092">
        <f t="shared" si="14"/>
        <v>0.44834307992202732</v>
      </c>
      <c r="AD13" s="1087"/>
      <c r="AE13" s="1087">
        <v>5</v>
      </c>
      <c r="AF13" s="1087">
        <v>960</v>
      </c>
      <c r="AG13" s="1100">
        <f t="shared" si="15"/>
        <v>10.453896568053086</v>
      </c>
      <c r="AH13" s="1092">
        <f>AL2*AF13+AH9</f>
        <v>220.77834441538806</v>
      </c>
      <c r="AI13" s="1087"/>
      <c r="AJ13" s="1092"/>
      <c r="AK13" s="1092"/>
      <c r="AL13" s="1092"/>
      <c r="AM13" s="1092"/>
      <c r="AN13" s="1092"/>
    </row>
    <row r="14" spans="1:40" ht="14.1" customHeight="1" x14ac:dyDescent="0.3">
      <c r="A14" s="1129">
        <v>6</v>
      </c>
      <c r="B14" s="1156">
        <v>14.9</v>
      </c>
      <c r="C14" s="1278">
        <f t="shared" si="6"/>
        <v>0.14652849258327127</v>
      </c>
      <c r="K14" s="1080"/>
      <c r="L14" s="1102" t="s">
        <v>183</v>
      </c>
      <c r="M14" s="1103">
        <f t="shared" si="7"/>
        <v>1200</v>
      </c>
      <c r="N14" s="1104">
        <f t="shared" si="8"/>
        <v>0.45065789473684215</v>
      </c>
      <c r="O14" s="1105">
        <f t="shared" si="0"/>
        <v>0.4716755642642117</v>
      </c>
      <c r="P14" s="1105">
        <f t="shared" si="1"/>
        <v>0.4323692672421941</v>
      </c>
      <c r="Q14" s="1106">
        <f t="shared" si="9"/>
        <v>0.39306297022017644</v>
      </c>
      <c r="R14" s="1105">
        <f t="shared" si="2"/>
        <v>0.35375667319815879</v>
      </c>
      <c r="S14" s="1105">
        <f t="shared" si="3"/>
        <v>0.31445037617614119</v>
      </c>
      <c r="T14" s="1107">
        <f t="shared" si="10"/>
        <v>1</v>
      </c>
      <c r="U14" s="355">
        <f t="shared" si="11"/>
        <v>0</v>
      </c>
      <c r="V14" s="1099">
        <f t="shared" si="12"/>
        <v>0</v>
      </c>
      <c r="W14" s="1279">
        <f t="shared" si="13"/>
        <v>0.14652849258327127</v>
      </c>
      <c r="X14" s="1092">
        <f t="shared" si="4"/>
        <v>258.09841351923507</v>
      </c>
      <c r="Y14" s="1100">
        <f>10^((Y1+Y3*LN(X14)+Y5*LN(X14)^2+AA2*LN(X14)^3+ AA5*LN(X14)^4)/(1+Y2*LN(X14)+Y4*LN(X14)^2+AA1*LN(X14)^3+AA3*LN(X14)^4+AA4*LN(X14)^5))</f>
        <v>15.568023082365174</v>
      </c>
      <c r="Z14" s="1087"/>
      <c r="AA14" s="1100">
        <f t="shared" si="5"/>
        <v>14.9</v>
      </c>
      <c r="AB14" s="1092"/>
      <c r="AC14" s="1092">
        <f t="shared" si="14"/>
        <v>0.45065789473684215</v>
      </c>
      <c r="AD14" s="1087"/>
      <c r="AE14" s="1087">
        <v>6</v>
      </c>
      <c r="AF14" s="1087">
        <v>1200</v>
      </c>
      <c r="AG14" s="1100">
        <f t="shared" si="15"/>
        <v>15.568023082365174</v>
      </c>
      <c r="AH14" s="1092">
        <f>AL2*AF14+AH9</f>
        <v>258.09841351923507</v>
      </c>
      <c r="AI14" s="1087"/>
      <c r="AJ14" s="1092"/>
      <c r="AK14" s="1092"/>
      <c r="AL14" s="1092"/>
      <c r="AM14" s="1092"/>
      <c r="AN14" s="1092"/>
    </row>
    <row r="15" spans="1:40" ht="14.1" customHeight="1" x14ac:dyDescent="0.3">
      <c r="A15" s="1129">
        <v>7</v>
      </c>
      <c r="B15" s="1156">
        <v>22</v>
      </c>
      <c r="C15" s="1278">
        <f t="shared" si="6"/>
        <v>6.714936833918457E-2</v>
      </c>
      <c r="K15" s="1080"/>
      <c r="L15" s="1102" t="s">
        <v>184</v>
      </c>
      <c r="M15" s="1103">
        <f t="shared" si="7"/>
        <v>1440</v>
      </c>
      <c r="N15" s="1104">
        <f t="shared" si="8"/>
        <v>0.38482384823848237</v>
      </c>
      <c r="O15" s="1105">
        <f t="shared" si="0"/>
        <v>0.43273100428749273</v>
      </c>
      <c r="P15" s="1105">
        <f t="shared" si="1"/>
        <v>0.39667008726353503</v>
      </c>
      <c r="Q15" s="1106">
        <f t="shared" si="9"/>
        <v>0.36060917023957728</v>
      </c>
      <c r="R15" s="1105">
        <f t="shared" si="2"/>
        <v>0.32454825321561959</v>
      </c>
      <c r="S15" s="1105">
        <f t="shared" si="3"/>
        <v>0.28848733619166184</v>
      </c>
      <c r="T15" s="1107">
        <f t="shared" si="10"/>
        <v>0</v>
      </c>
      <c r="U15" s="355">
        <f t="shared" si="11"/>
        <v>0</v>
      </c>
      <c r="V15" s="1099">
        <f t="shared" si="12"/>
        <v>1</v>
      </c>
      <c r="W15" s="1279">
        <f t="shared" si="13"/>
        <v>6.714936833918457E-2</v>
      </c>
      <c r="X15" s="1092">
        <f t="shared" si="4"/>
        <v>295.41848262308207</v>
      </c>
      <c r="Y15" s="1100">
        <f>10^((Y1+Y3*LN(X15)+Y5*LN(X15)^2+AA2*LN(X15)^3+ AA5*LN(X15)^4)/(1+Y2*LN(X15)+Y4*LN(X15)^2+AA1*LN(X15)^3+AA3*LN(X15)^4+AA4*LN(X15)^5))</f>
        <v>22.416874233768414</v>
      </c>
      <c r="Z15" s="1087"/>
      <c r="AA15" s="1100">
        <f t="shared" si="5"/>
        <v>22</v>
      </c>
      <c r="AB15" s="1092"/>
      <c r="AC15" s="1092">
        <f t="shared" si="14"/>
        <v>0.38482384823848237</v>
      </c>
      <c r="AD15" s="1087"/>
      <c r="AE15" s="1087">
        <v>7</v>
      </c>
      <c r="AF15" s="1087">
        <v>1440</v>
      </c>
      <c r="AG15" s="1100">
        <f t="shared" si="15"/>
        <v>22.416874233768414</v>
      </c>
      <c r="AH15" s="1092">
        <f>AL2*AF15+AH9</f>
        <v>295.41848262308207</v>
      </c>
      <c r="AI15" s="1087"/>
      <c r="AJ15" s="1092"/>
      <c r="AK15" s="1092"/>
      <c r="AL15" s="1092"/>
      <c r="AM15" s="1092"/>
      <c r="AN15" s="1092"/>
    </row>
    <row r="16" spans="1:40" ht="14.1" customHeight="1" x14ac:dyDescent="0.3">
      <c r="A16" s="1129">
        <v>8</v>
      </c>
      <c r="B16" s="1156">
        <v>30</v>
      </c>
      <c r="C16" s="1278">
        <f t="shared" si="6"/>
        <v>-8.4321765144647176E-2</v>
      </c>
      <c r="K16" s="1080"/>
      <c r="L16" s="1102" t="s">
        <v>185</v>
      </c>
      <c r="M16" s="1103">
        <f t="shared" si="7"/>
        <v>1680</v>
      </c>
      <c r="N16" s="1104">
        <f t="shared" si="8"/>
        <v>0.30769230769230771</v>
      </c>
      <c r="O16" s="1105">
        <f t="shared" si="0"/>
        <v>0.40323200353134486</v>
      </c>
      <c r="P16" s="1105">
        <f t="shared" si="1"/>
        <v>0.36962933657039948</v>
      </c>
      <c r="Q16" s="1106">
        <f t="shared" si="9"/>
        <v>0.33602666960945404</v>
      </c>
      <c r="R16" s="1105">
        <f t="shared" si="2"/>
        <v>0.30242400264850866</v>
      </c>
      <c r="S16" s="1105">
        <f t="shared" si="3"/>
        <v>0.26882133568756322</v>
      </c>
      <c r="T16" s="1107">
        <f t="shared" si="10"/>
        <v>0</v>
      </c>
      <c r="U16" s="355">
        <f t="shared" si="11"/>
        <v>0</v>
      </c>
      <c r="V16" s="1099">
        <f t="shared" si="12"/>
        <v>1</v>
      </c>
      <c r="W16" s="1279">
        <f t="shared" si="13"/>
        <v>-8.4321765144647176E-2</v>
      </c>
      <c r="X16" s="1092">
        <f t="shared" si="4"/>
        <v>332.73855172692907</v>
      </c>
      <c r="Y16" s="1100">
        <f>10^((Y1+Y3*LN(X16)+Y5*LN(X16)^2+AA2*LN(X16)^3+ AA5*LN(X16)^4)/(1+Y2*LN(X16)+Y4*LN(X16)^2+AA1*LN(X16)^3+AA3*LN(X16)^4+AA4*LN(X16)^5))</f>
        <v>31.470706352651248</v>
      </c>
      <c r="Z16" s="1087"/>
      <c r="AA16" s="1100">
        <f t="shared" si="5"/>
        <v>30</v>
      </c>
      <c r="AB16" s="1092"/>
      <c r="AC16" s="1092">
        <f t="shared" si="14"/>
        <v>0.30769230769230771</v>
      </c>
      <c r="AD16" s="1087"/>
      <c r="AE16" s="1087">
        <v>8</v>
      </c>
      <c r="AF16" s="1087">
        <v>1680</v>
      </c>
      <c r="AG16" s="1100">
        <f t="shared" si="15"/>
        <v>31.470706352651248</v>
      </c>
      <c r="AH16" s="1092">
        <f>AL2*AF16+AH9</f>
        <v>332.73855172692907</v>
      </c>
      <c r="AI16" s="1087"/>
      <c r="AJ16" s="1092"/>
      <c r="AK16" s="1092"/>
      <c r="AL16" s="1092"/>
      <c r="AM16" s="1092"/>
      <c r="AN16" s="1092"/>
    </row>
    <row r="17" spans="1:40" ht="14.1" customHeight="1" x14ac:dyDescent="0.3">
      <c r="A17" s="1129">
        <v>9</v>
      </c>
      <c r="B17" s="1156">
        <v>44</v>
      </c>
      <c r="C17" s="1278">
        <f t="shared" si="6"/>
        <v>0.19368569634538951</v>
      </c>
      <c r="K17" s="1080"/>
      <c r="L17" s="356" t="s">
        <v>186</v>
      </c>
      <c r="M17" s="1103">
        <f t="shared" si="7"/>
        <v>1920</v>
      </c>
      <c r="N17" s="1104">
        <f t="shared" si="8"/>
        <v>0.3783783783783784</v>
      </c>
      <c r="O17" s="1105">
        <f t="shared" si="0"/>
        <v>0.38037990690865647</v>
      </c>
      <c r="P17" s="1105">
        <f t="shared" si="1"/>
        <v>0.34868158133293514</v>
      </c>
      <c r="Q17" s="1106">
        <f t="shared" si="9"/>
        <v>0.31698325575721376</v>
      </c>
      <c r="R17" s="1105">
        <f t="shared" si="2"/>
        <v>0.28528493018149237</v>
      </c>
      <c r="S17" s="1105">
        <f t="shared" si="3"/>
        <v>0.25358660460577104</v>
      </c>
      <c r="T17" s="1107">
        <f t="shared" si="10"/>
        <v>1</v>
      </c>
      <c r="U17" s="355">
        <f t="shared" si="11"/>
        <v>0</v>
      </c>
      <c r="V17" s="1099">
        <f t="shared" si="12"/>
        <v>0</v>
      </c>
      <c r="W17" s="1279">
        <f t="shared" si="13"/>
        <v>0.19368569634538951</v>
      </c>
      <c r="X17" s="1092">
        <f t="shared" si="4"/>
        <v>370.05862083077608</v>
      </c>
      <c r="Y17" s="1100">
        <f>10^((Y1+Y3*LN(X17)+Y5*LN(X17)^2+AA2*LN(X17)^3+ AA5*LN(X17)^4)/(1+Y2*LN(X17)+Y4*LN(X17)^2+AA1*LN(X17)^3+AA3*LN(X17)^4+AA4*LN(X17)^5))</f>
        <v>43.325237205974197</v>
      </c>
      <c r="Z17" s="1087"/>
      <c r="AA17" s="1100">
        <f t="shared" si="5"/>
        <v>44</v>
      </c>
      <c r="AB17" s="1092"/>
      <c r="AC17" s="1092">
        <f t="shared" si="14"/>
        <v>0.3783783783783784</v>
      </c>
      <c r="AD17" s="1087"/>
      <c r="AE17" s="1087">
        <v>9</v>
      </c>
      <c r="AF17" s="1087">
        <v>1920</v>
      </c>
      <c r="AG17" s="1100">
        <f t="shared" si="15"/>
        <v>43.325237205974197</v>
      </c>
      <c r="AH17" s="1092">
        <f>AL2*AF17+AH9</f>
        <v>370.05862083077608</v>
      </c>
      <c r="AI17" s="1087"/>
      <c r="AJ17" s="1092"/>
      <c r="AK17" s="1092"/>
      <c r="AL17" s="1092"/>
      <c r="AM17" s="1092"/>
      <c r="AN17" s="1092"/>
    </row>
    <row r="18" spans="1:40" ht="14.1" customHeight="1" x14ac:dyDescent="0.3">
      <c r="A18" s="1129">
        <v>10</v>
      </c>
      <c r="B18" s="1156">
        <v>60</v>
      </c>
      <c r="C18" s="1278">
        <f t="shared" si="6"/>
        <v>1.8939310147332061E-2</v>
      </c>
      <c r="K18" s="1080"/>
      <c r="M18" s="1103">
        <f t="shared" si="7"/>
        <v>2160</v>
      </c>
      <c r="N18" s="1104">
        <f t="shared" si="8"/>
        <v>0.30769230769230771</v>
      </c>
      <c r="O18" s="1105">
        <f t="shared" si="0"/>
        <v>0.36236777357954797</v>
      </c>
      <c r="P18" s="1105">
        <f t="shared" si="1"/>
        <v>0.3321704591145857</v>
      </c>
      <c r="Q18" s="1106">
        <f t="shared" si="9"/>
        <v>0.30197314464962333</v>
      </c>
      <c r="R18" s="1105">
        <f t="shared" si="2"/>
        <v>0.271775830184661</v>
      </c>
      <c r="S18" s="1105">
        <f t="shared" si="3"/>
        <v>0.24157851571969868</v>
      </c>
      <c r="T18" s="1107">
        <f t="shared" si="10"/>
        <v>0</v>
      </c>
      <c r="U18" s="355">
        <f t="shared" si="11"/>
        <v>0</v>
      </c>
      <c r="V18" s="1099">
        <f t="shared" si="12"/>
        <v>1</v>
      </c>
      <c r="W18" s="1279">
        <f t="shared" si="13"/>
        <v>1.8939310147332061E-2</v>
      </c>
      <c r="X18" s="1092">
        <f t="shared" si="4"/>
        <v>407.37868993462308</v>
      </c>
      <c r="Y18" s="1100">
        <f>10^((Y1+Y3*LN(X18)+Y5*LN(X18)^2+AA2*LN(X18)^3+ AA5*LN(X18)^4)/(1+Y2*LN(X18)+Y4*LN(X18)^2+AA1*LN(X18)^3+AA3*LN(X18)^4+AA4*LN(X18)^5))</f>
        <v>58.734955939874062</v>
      </c>
      <c r="Z18" s="1087"/>
      <c r="AA18" s="1100">
        <f t="shared" si="5"/>
        <v>60</v>
      </c>
      <c r="AB18" s="1092"/>
      <c r="AC18" s="1092">
        <f t="shared" si="14"/>
        <v>0.30769230769230771</v>
      </c>
      <c r="AD18" s="1087"/>
      <c r="AE18" s="1087">
        <v>10</v>
      </c>
      <c r="AF18" s="1087">
        <v>2160</v>
      </c>
      <c r="AG18" s="1100">
        <f t="shared" si="15"/>
        <v>58.734955939874062</v>
      </c>
      <c r="AH18" s="1092">
        <f>AL2*AF18+AH9</f>
        <v>407.37868993462308</v>
      </c>
      <c r="AI18" s="1087"/>
      <c r="AJ18" s="1092"/>
      <c r="AK18" s="1092"/>
      <c r="AL18" s="1092"/>
      <c r="AM18" s="1092"/>
      <c r="AN18" s="1092"/>
    </row>
    <row r="19" spans="1:40" ht="14.1" customHeight="1" x14ac:dyDescent="0.3">
      <c r="A19" s="1129">
        <v>11</v>
      </c>
      <c r="B19" s="1156">
        <v>75.8</v>
      </c>
      <c r="C19" s="1278">
        <f t="shared" si="6"/>
        <v>-0.19755635017789322</v>
      </c>
      <c r="K19" s="1080"/>
      <c r="M19" s="1103">
        <f t="shared" si="7"/>
        <v>2400</v>
      </c>
      <c r="N19" s="1104">
        <f t="shared" si="8"/>
        <v>0.23269513991163471</v>
      </c>
      <c r="O19" s="1105">
        <f t="shared" si="0"/>
        <v>0.34797978394603146</v>
      </c>
      <c r="P19" s="1105">
        <f t="shared" si="1"/>
        <v>0.31898146861719551</v>
      </c>
      <c r="Q19" s="1106">
        <f t="shared" si="9"/>
        <v>0.28998315328835955</v>
      </c>
      <c r="R19" s="1105">
        <f t="shared" si="2"/>
        <v>0.2609848379595236</v>
      </c>
      <c r="S19" s="1105">
        <f t="shared" si="3"/>
        <v>0.23198652263068764</v>
      </c>
      <c r="T19" s="1107">
        <f t="shared" si="10"/>
        <v>1</v>
      </c>
      <c r="U19" s="355">
        <f t="shared" si="11"/>
        <v>0</v>
      </c>
      <c r="V19" s="1099">
        <f t="shared" si="12"/>
        <v>0</v>
      </c>
      <c r="W19" s="1279">
        <f t="shared" si="13"/>
        <v>-0.19755635017789322</v>
      </c>
      <c r="X19" s="1092">
        <f t="shared" si="4"/>
        <v>444.69875903847009</v>
      </c>
      <c r="Y19" s="1100">
        <f>10^((Y1+Y3*LN(X19)+Y5*LN(X19)^2+AA2*LN(X19)^3+ AA5*LN(X19)^4)/(1+Y2*LN(X19)+Y4*LN(X19)^2+AA1*LN(X19)^3+AA3*LN(X19)^4+AA4*LN(X19)^5))</f>
        <v>78.655400307951879</v>
      </c>
      <c r="Z19" s="1087"/>
      <c r="AA19" s="1100">
        <f t="shared" si="5"/>
        <v>75.8</v>
      </c>
      <c r="AB19" s="1092"/>
      <c r="AC19" s="1092">
        <f t="shared" si="14"/>
        <v>0.23269513991163471</v>
      </c>
      <c r="AD19" s="1087"/>
      <c r="AE19" s="1087">
        <v>11</v>
      </c>
      <c r="AF19" s="1087">
        <v>2400</v>
      </c>
      <c r="AG19" s="1100">
        <f t="shared" si="15"/>
        <v>78.655400307951879</v>
      </c>
      <c r="AH19" s="1092">
        <f>AL2*AF19+AH9</f>
        <v>444.69875903847009</v>
      </c>
      <c r="AI19" s="1087"/>
      <c r="AJ19" s="1092"/>
      <c r="AK19" s="1092"/>
      <c r="AL19" s="1092"/>
      <c r="AM19" s="1092"/>
      <c r="AN19" s="1092"/>
    </row>
    <row r="20" spans="1:40" ht="14.1" customHeight="1" x14ac:dyDescent="0.3">
      <c r="A20" s="1129">
        <v>12</v>
      </c>
      <c r="B20" s="1156">
        <v>101</v>
      </c>
      <c r="C20" s="1278">
        <f t="shared" si="6"/>
        <v>1.6981172158259106E-2</v>
      </c>
      <c r="K20" s="1080"/>
      <c r="M20" s="1103">
        <f t="shared" si="7"/>
        <v>2640</v>
      </c>
      <c r="N20" s="1104">
        <f t="shared" si="8"/>
        <v>0.28506787330316741</v>
      </c>
      <c r="O20" s="1105">
        <f t="shared" si="0"/>
        <v>0.33636949958260126</v>
      </c>
      <c r="P20" s="1105">
        <f t="shared" si="1"/>
        <v>0.30833870795071788</v>
      </c>
      <c r="Q20" s="1106">
        <f t="shared" si="9"/>
        <v>0.28030791631883439</v>
      </c>
      <c r="R20" s="1105">
        <f t="shared" si="2"/>
        <v>0.25227712468695096</v>
      </c>
      <c r="S20" s="1105">
        <f t="shared" si="3"/>
        <v>0.22424633305506753</v>
      </c>
      <c r="T20" s="1107">
        <f t="shared" si="10"/>
        <v>0</v>
      </c>
      <c r="U20" s="355">
        <f t="shared" si="11"/>
        <v>0</v>
      </c>
      <c r="V20" s="1099">
        <f t="shared" si="12"/>
        <v>1</v>
      </c>
      <c r="W20" s="1279">
        <f t="shared" si="13"/>
        <v>1.6981172158259106E-2</v>
      </c>
      <c r="X20" s="1092">
        <f t="shared" si="4"/>
        <v>482.01882814231709</v>
      </c>
      <c r="Y20" s="1100">
        <f>10^((Y1+Y3*LN(X20)+Y5*LN(X20)^2+AA2*LN(X20)^3+ AA5*LN(X20)^4)/(1+Y2*LN(X20)+Y4*LN(X20)^2+AA1*LN(X20)^3+AA3*LN(X20)^4+AA4*LN(X20)^5))</f>
        <v>104.29688761462194</v>
      </c>
      <c r="Z20" s="1087"/>
      <c r="AA20" s="1100">
        <f t="shared" si="5"/>
        <v>101</v>
      </c>
      <c r="AB20" s="1092"/>
      <c r="AC20" s="1092">
        <f t="shared" si="14"/>
        <v>0.28506787330316741</v>
      </c>
      <c r="AD20" s="1087"/>
      <c r="AE20" s="1087">
        <v>12</v>
      </c>
      <c r="AF20" s="1087">
        <v>2640</v>
      </c>
      <c r="AG20" s="1100">
        <f t="shared" si="15"/>
        <v>104.29688761462194</v>
      </c>
      <c r="AH20" s="1092">
        <f>AL2*AF20+AH9</f>
        <v>482.01882814231709</v>
      </c>
      <c r="AI20" s="1087"/>
      <c r="AJ20" s="1092"/>
      <c r="AK20" s="1092"/>
      <c r="AL20" s="1092"/>
      <c r="AM20" s="1092"/>
      <c r="AN20" s="1092"/>
    </row>
    <row r="21" spans="1:40" ht="14.1" customHeight="1" x14ac:dyDescent="0.3">
      <c r="A21" s="1129">
        <v>13</v>
      </c>
      <c r="B21" s="1156">
        <v>133</v>
      </c>
      <c r="C21" s="1278">
        <f t="shared" si="6"/>
        <v>3.8987148945513438E-3</v>
      </c>
      <c r="K21" s="1080"/>
      <c r="M21" s="1103">
        <f t="shared" si="7"/>
        <v>2880</v>
      </c>
      <c r="N21" s="1104">
        <f t="shared" si="8"/>
        <v>0.27350427350427353</v>
      </c>
      <c r="O21" s="1105">
        <f t="shared" si="0"/>
        <v>0.32693051931997202</v>
      </c>
      <c r="P21" s="1105">
        <f t="shared" si="1"/>
        <v>0.29968630937664109</v>
      </c>
      <c r="Q21" s="1106">
        <f t="shared" si="9"/>
        <v>0.27244209943331005</v>
      </c>
      <c r="R21" s="1105">
        <f t="shared" si="2"/>
        <v>0.24519788948997906</v>
      </c>
      <c r="S21" s="1105">
        <f t="shared" si="3"/>
        <v>0.21795367954664804</v>
      </c>
      <c r="T21" s="1107">
        <f t="shared" si="10"/>
        <v>0</v>
      </c>
      <c r="U21" s="355">
        <f t="shared" si="11"/>
        <v>0</v>
      </c>
      <c r="V21" s="1099">
        <f t="shared" si="12"/>
        <v>1</v>
      </c>
      <c r="W21" s="1279">
        <f t="shared" si="13"/>
        <v>3.8987148945513438E-3</v>
      </c>
      <c r="X21" s="1092">
        <f t="shared" si="4"/>
        <v>519.33889724616415</v>
      </c>
      <c r="Y21" s="1100">
        <f>10^((Y1+Y3*LN(X21)+Y5*LN(X21)^2+AA2*LN(X21)^3+ AA5*LN(X21)^4)/(1+Y2*LN(X21)+Y4*LN(X21)^2+AA1*LN(X21)^3+AA3*LN(X21)^4+AA4*LN(X21)^5))</f>
        <v>137.19287682200732</v>
      </c>
      <c r="Z21" s="1087"/>
      <c r="AA21" s="1100">
        <f t="shared" si="5"/>
        <v>133</v>
      </c>
      <c r="AB21" s="1092"/>
      <c r="AC21" s="1092">
        <f t="shared" si="14"/>
        <v>0.27350427350427353</v>
      </c>
      <c r="AD21" s="1087"/>
      <c r="AE21" s="1087">
        <v>13</v>
      </c>
      <c r="AF21" s="1087">
        <v>2880</v>
      </c>
      <c r="AG21" s="1100">
        <f t="shared" si="15"/>
        <v>137.19287682200732</v>
      </c>
      <c r="AH21" s="1092">
        <f>AL2*AF21+AH9</f>
        <v>519.33889724616415</v>
      </c>
      <c r="AI21" s="1087"/>
      <c r="AJ21" s="1092"/>
      <c r="AK21" s="1092"/>
      <c r="AL21" s="1092"/>
      <c r="AM21" s="1092"/>
      <c r="AN21" s="1092"/>
    </row>
    <row r="22" spans="1:40" ht="14.1" customHeight="1" x14ac:dyDescent="0.3">
      <c r="A22" s="1129">
        <v>14</v>
      </c>
      <c r="B22" s="1156">
        <v>174</v>
      </c>
      <c r="C22" s="1278">
        <f t="shared" si="6"/>
        <v>4.0834542368265768E-3</v>
      </c>
      <c r="K22" s="1080"/>
      <c r="M22" s="1103">
        <f t="shared" si="7"/>
        <v>3120</v>
      </c>
      <c r="N22" s="1104">
        <f t="shared" si="8"/>
        <v>0.26710097719869708</v>
      </c>
      <c r="O22" s="1105">
        <f t="shared" si="0"/>
        <v>0.3192176619243815</v>
      </c>
      <c r="P22" s="1105">
        <f t="shared" si="1"/>
        <v>0.29261619009734974</v>
      </c>
      <c r="Q22" s="1106">
        <f t="shared" si="9"/>
        <v>0.26601471827031792</v>
      </c>
      <c r="R22" s="1105">
        <f t="shared" si="2"/>
        <v>0.23941324644328613</v>
      </c>
      <c r="S22" s="1105">
        <f t="shared" si="3"/>
        <v>0.21281177461625433</v>
      </c>
      <c r="T22" s="1107">
        <f t="shared" si="10"/>
        <v>0</v>
      </c>
      <c r="U22" s="355">
        <f t="shared" si="11"/>
        <v>0</v>
      </c>
      <c r="V22" s="1099">
        <f t="shared" si="12"/>
        <v>1</v>
      </c>
      <c r="W22" s="1279">
        <f t="shared" si="13"/>
        <v>4.0834542368265768E-3</v>
      </c>
      <c r="X22" s="1092">
        <f t="shared" si="4"/>
        <v>556.65896635001116</v>
      </c>
      <c r="Y22" s="1100">
        <f>10^((Y1+Y3*LN(X22)+Y5*LN(X22)^2+AA2*LN(X22)^3+ AA5*LN(X22)^4)/(1+Y2*LN(X22)+Y4*LN(X22)^2+AA1*LN(X22)^3+AA3*LN(X22)^4+AA4*LN(X22)^5))</f>
        <v>179.28703397667007</v>
      </c>
      <c r="Z22" s="1087"/>
      <c r="AA22" s="1100">
        <f t="shared" si="5"/>
        <v>174</v>
      </c>
      <c r="AB22" s="1092"/>
      <c r="AC22" s="1092">
        <f t="shared" si="14"/>
        <v>0.26710097719869708</v>
      </c>
      <c r="AD22" s="1087"/>
      <c r="AE22" s="1087">
        <v>14</v>
      </c>
      <c r="AF22" s="1087">
        <v>3120</v>
      </c>
      <c r="AG22" s="1100">
        <f t="shared" si="15"/>
        <v>179.28703397667007</v>
      </c>
      <c r="AH22" s="1092">
        <f>AL2*AF22+AH9</f>
        <v>556.65896635001116</v>
      </c>
      <c r="AI22" s="1087"/>
      <c r="AJ22" s="1092"/>
      <c r="AK22" s="1092"/>
      <c r="AL22" s="1092"/>
      <c r="AM22" s="1092"/>
      <c r="AN22" s="1092"/>
    </row>
    <row r="23" spans="1:40" ht="14.1" customHeight="1" x14ac:dyDescent="0.3">
      <c r="A23" s="1129">
        <v>15</v>
      </c>
      <c r="B23" s="1156">
        <v>227</v>
      </c>
      <c r="C23" s="1278">
        <f t="shared" si="6"/>
        <v>1.3774031939782598E-2</v>
      </c>
      <c r="F23" s="1819" t="s">
        <v>1028</v>
      </c>
      <c r="G23" s="1819" t="s">
        <v>1029</v>
      </c>
      <c r="H23" s="1819" t="s">
        <v>1102</v>
      </c>
      <c r="I23" s="1820" t="s">
        <v>15</v>
      </c>
      <c r="J23" s="1820"/>
      <c r="K23" s="1080"/>
      <c r="M23" s="1103">
        <f t="shared" si="7"/>
        <v>3360</v>
      </c>
      <c r="N23" s="1104">
        <f t="shared" si="8"/>
        <v>0.26433915211970077</v>
      </c>
      <c r="O23" s="1105">
        <f t="shared" si="0"/>
        <v>0.31289712751537785</v>
      </c>
      <c r="P23" s="1105">
        <f t="shared" si="1"/>
        <v>0.2868223668890964</v>
      </c>
      <c r="Q23" s="1106">
        <f t="shared" si="9"/>
        <v>0.2607476062628149</v>
      </c>
      <c r="R23" s="1105">
        <f t="shared" si="2"/>
        <v>0.23467284563653343</v>
      </c>
      <c r="S23" s="1105">
        <f t="shared" si="3"/>
        <v>0.20859808501025193</v>
      </c>
      <c r="T23" s="1107">
        <f t="shared" si="10"/>
        <v>0</v>
      </c>
      <c r="U23" s="355">
        <f t="shared" si="11"/>
        <v>0</v>
      </c>
      <c r="V23" s="1099">
        <f t="shared" si="12"/>
        <v>1</v>
      </c>
      <c r="W23" s="1279">
        <f t="shared" si="13"/>
        <v>1.3774031939782598E-2</v>
      </c>
      <c r="X23" s="1092">
        <f t="shared" si="4"/>
        <v>593.97903545385816</v>
      </c>
      <c r="Y23" s="1100">
        <f>10^((Y1+Y3*LN(X23)+Y5*LN(X23)^2+AA2*LN(X23)^3+ AA5*LN(X23)^4)/(1+Y2*LN(X23)+Y4*LN(X23)^2+AA1*LN(X23)^3+AA3*LN(X23)^4+AA4*LN(X23)^5))</f>
        <v>233.0442288630619</v>
      </c>
      <c r="Z23" s="1087"/>
      <c r="AA23" s="1100">
        <f t="shared" si="5"/>
        <v>227</v>
      </c>
      <c r="AB23" s="1092"/>
      <c r="AC23" s="1092">
        <f t="shared" si="14"/>
        <v>0.26433915211970077</v>
      </c>
      <c r="AD23" s="1087"/>
      <c r="AE23" s="1087">
        <v>15</v>
      </c>
      <c r="AF23" s="1087">
        <v>3360</v>
      </c>
      <c r="AG23" s="1100">
        <f t="shared" si="15"/>
        <v>233.0442288630619</v>
      </c>
      <c r="AH23" s="1092">
        <f>AL2*AF23+AH9</f>
        <v>593.97903545385816</v>
      </c>
      <c r="AI23" s="1087"/>
      <c r="AJ23" s="1092"/>
      <c r="AK23" s="1092"/>
      <c r="AL23" s="1092"/>
      <c r="AM23" s="1092"/>
      <c r="AN23" s="1092"/>
    </row>
    <row r="24" spans="1:40" ht="14.1" customHeight="1" x14ac:dyDescent="0.3">
      <c r="A24" s="1129">
        <v>16</v>
      </c>
      <c r="B24" s="1156">
        <v>297</v>
      </c>
      <c r="C24" s="1278">
        <f t="shared" si="6"/>
        <v>4.191139167673702E-2</v>
      </c>
      <c r="F24" s="1819"/>
      <c r="G24" s="1819"/>
      <c r="H24" s="1819"/>
      <c r="I24" s="1308" t="s">
        <v>16</v>
      </c>
      <c r="J24" s="1308" t="s">
        <v>17</v>
      </c>
      <c r="K24" s="1080"/>
      <c r="M24" s="1103">
        <f t="shared" si="7"/>
        <v>3600</v>
      </c>
      <c r="N24" s="1104">
        <f t="shared" si="8"/>
        <v>0.26717557251908397</v>
      </c>
      <c r="O24" s="1105">
        <f t="shared" si="0"/>
        <v>0.30771396645058785</v>
      </c>
      <c r="P24" s="1105">
        <f t="shared" si="1"/>
        <v>0.2820711359130389</v>
      </c>
      <c r="Q24" s="1106">
        <f t="shared" si="9"/>
        <v>0.25642830537548988</v>
      </c>
      <c r="R24" s="1105">
        <f t="shared" si="2"/>
        <v>0.2307854748379409</v>
      </c>
      <c r="S24" s="1105">
        <f t="shared" si="3"/>
        <v>0.20514264430039192</v>
      </c>
      <c r="T24" s="1107">
        <f t="shared" si="10"/>
        <v>0</v>
      </c>
      <c r="U24" s="355">
        <f t="shared" si="11"/>
        <v>0</v>
      </c>
      <c r="V24" s="1099">
        <f t="shared" si="12"/>
        <v>1</v>
      </c>
      <c r="W24" s="1279">
        <f t="shared" si="13"/>
        <v>4.191139167673702E-2</v>
      </c>
      <c r="X24" s="1092">
        <f t="shared" si="4"/>
        <v>631.29910455770516</v>
      </c>
      <c r="Y24" s="1100">
        <f>10^((Y1+Y3*LN(X24)+Y5*LN(X24)^2+AA2*LN(X24)^3+ AA5*LN(X24)^4)/(1+Y2*LN(X24)+Y4*LN(X24)^2+AA1*LN(X24)^3+AA3*LN(X24)^4+AA4*LN(X24)^5))</f>
        <v>301.59218346582611</v>
      </c>
      <c r="Z24" s="1087"/>
      <c r="AA24" s="1100">
        <f t="shared" si="5"/>
        <v>297</v>
      </c>
      <c r="AB24" s="1092"/>
      <c r="AC24" s="1092">
        <f t="shared" si="14"/>
        <v>0.26717557251908397</v>
      </c>
      <c r="AD24" s="1087"/>
      <c r="AE24" s="1087">
        <v>16</v>
      </c>
      <c r="AF24" s="1087">
        <v>3600</v>
      </c>
      <c r="AG24" s="1100">
        <f t="shared" si="15"/>
        <v>301.59218346582611</v>
      </c>
      <c r="AH24" s="1092">
        <f>AL2*AF24+AH9</f>
        <v>631.29910455770516</v>
      </c>
      <c r="AI24" s="1087"/>
      <c r="AJ24" s="1092"/>
      <c r="AK24" s="1092"/>
      <c r="AL24" s="1092"/>
      <c r="AM24" s="1092"/>
      <c r="AN24" s="1092"/>
    </row>
    <row r="25" spans="1:40" ht="14.1" customHeight="1" x14ac:dyDescent="0.3">
      <c r="A25" s="1129">
        <v>17</v>
      </c>
      <c r="B25" s="1156">
        <v>384</v>
      </c>
      <c r="C25" s="1278">
        <f t="shared" si="6"/>
        <v>1.0339324728122056E-2</v>
      </c>
      <c r="F25" s="1108">
        <f>B26</f>
        <v>500</v>
      </c>
      <c r="G25" s="1108">
        <f>MIN(B9:B26)</f>
        <v>1</v>
      </c>
      <c r="H25" s="1109">
        <f>(B26+0.2)/(B9+0.2)</f>
        <v>416.83333333333331</v>
      </c>
      <c r="I25" s="1110" t="str">
        <f>IF($J$7=$Q$4, IF(AND($G25&gt;=1,$F25&gt;=420,$H25&gt;=350,$H25&lt;=450),"X",""),IF(AND($G25&gt;=1,$H25&gt;=250,$F25&gt;=250),"X",""))</f>
        <v>X</v>
      </c>
      <c r="J25" s="1110" t="str">
        <f>IF($J$7=$Q$4, IF(AND($G25&gt;=1,$F25&gt;=420,$H25&gt;=350,$H25&lt;=450),"","X"),IF(AND($G25&gt;=1,$H25&gt;=250,$F25&gt;=250),"","X"))</f>
        <v/>
      </c>
      <c r="K25" s="1078"/>
      <c r="L25" s="1075" t="s">
        <v>305</v>
      </c>
      <c r="M25" s="1103">
        <f t="shared" si="7"/>
        <v>3840</v>
      </c>
      <c r="N25" s="1104">
        <f t="shared" si="8"/>
        <v>0.25550660792951541</v>
      </c>
      <c r="O25" s="1105">
        <f t="shared" si="0"/>
        <v>0.30347025203431072</v>
      </c>
      <c r="P25" s="1105">
        <f t="shared" si="1"/>
        <v>0.27818106436478485</v>
      </c>
      <c r="Q25" s="1106">
        <f t="shared" si="9"/>
        <v>0.25289187669525892</v>
      </c>
      <c r="R25" s="1105">
        <f t="shared" si="2"/>
        <v>0.22760268902573302</v>
      </c>
      <c r="S25" s="1105">
        <f t="shared" si="3"/>
        <v>0.20231350135620715</v>
      </c>
      <c r="T25" s="1107">
        <f t="shared" si="10"/>
        <v>0</v>
      </c>
      <c r="U25" s="355">
        <f t="shared" si="11"/>
        <v>0</v>
      </c>
      <c r="V25" s="1099">
        <f t="shared" si="12"/>
        <v>1</v>
      </c>
      <c r="W25" s="1279">
        <f t="shared" si="13"/>
        <v>1.0339324728122056E-2</v>
      </c>
      <c r="X25" s="1092">
        <f t="shared" si="4"/>
        <v>668.61917366155217</v>
      </c>
      <c r="Y25" s="1100">
        <f>10^((Y1+Y3*LN(X25)+Y5*LN(X25)^2+AA2*LN(X25)^3+ AA5*LN(X25)^4)/(1+Y2*LN(X25)+Y4*LN(X25)^2+AA1*LN(X25)^3+AA3*LN(X25)^4+AA4*LN(X25)^5))</f>
        <v>388.90242174578412</v>
      </c>
      <c r="Z25" s="1087"/>
      <c r="AA25" s="1100">
        <f t="shared" si="5"/>
        <v>384</v>
      </c>
      <c r="AB25" s="1092"/>
      <c r="AC25" s="1092">
        <f t="shared" si="14"/>
        <v>0.25550660792951541</v>
      </c>
      <c r="AD25" s="1087"/>
      <c r="AE25" s="1087">
        <v>17</v>
      </c>
      <c r="AF25" s="1087">
        <v>3840</v>
      </c>
      <c r="AG25" s="1100">
        <f t="shared" si="15"/>
        <v>388.90242174578412</v>
      </c>
      <c r="AH25" s="1092">
        <f>AL2*AF25+AH9</f>
        <v>668.61917366155217</v>
      </c>
      <c r="AI25" s="1087"/>
      <c r="AJ25" s="1092"/>
      <c r="AK25" s="1092"/>
      <c r="AL25" s="1092"/>
      <c r="AM25" s="1092"/>
      <c r="AN25" s="1092"/>
    </row>
    <row r="26" spans="1:40" ht="14.1" customHeight="1" thickBot="1" x14ac:dyDescent="0.35">
      <c r="A26" s="1129">
        <v>18</v>
      </c>
      <c r="B26" s="1156">
        <v>500</v>
      </c>
      <c r="C26" s="1278">
        <f t="shared" si="6"/>
        <v>4.9917613362187932E-2</v>
      </c>
      <c r="F26" s="1821" t="s">
        <v>837</v>
      </c>
      <c r="G26" s="1821"/>
      <c r="H26" s="1821"/>
      <c r="I26" s="1110" t="str">
        <f>IF($J$7=+$Q$4,IF($T27=0,"X",""),IF($U27=0,"X",""))</f>
        <v/>
      </c>
      <c r="J26" s="1110" t="str">
        <f>IF($J$7=+$Q$4,IF($T27=0,"","X"),IF($U27=0,"","X"))</f>
        <v>X</v>
      </c>
      <c r="K26" s="1078"/>
      <c r="M26" s="1103">
        <f t="shared" si="7"/>
        <v>4080</v>
      </c>
      <c r="N26" s="1104">
        <f t="shared" si="8"/>
        <v>0.26244343891402716</v>
      </c>
      <c r="O26" s="1105">
        <f t="shared" si="0"/>
        <v>0.29995889457298885</v>
      </c>
      <c r="P26" s="1105">
        <f t="shared" si="1"/>
        <v>0.27496232002523979</v>
      </c>
      <c r="Q26" s="1106">
        <f t="shared" si="9"/>
        <v>0.2499657454774907</v>
      </c>
      <c r="R26" s="1105">
        <f t="shared" si="2"/>
        <v>0.22496917092974164</v>
      </c>
      <c r="S26" s="1105">
        <f t="shared" si="3"/>
        <v>0.19997259638199258</v>
      </c>
      <c r="T26" s="1107">
        <f t="shared" si="10"/>
        <v>0</v>
      </c>
      <c r="U26" s="355">
        <f t="shared" si="11"/>
        <v>0</v>
      </c>
      <c r="V26" s="1099">
        <f t="shared" si="12"/>
        <v>1</v>
      </c>
      <c r="W26" s="1279">
        <f t="shared" si="13"/>
        <v>4.9917613362187932E-2</v>
      </c>
      <c r="X26" s="1092">
        <f t="shared" si="4"/>
        <v>705.93924276539917</v>
      </c>
      <c r="Y26" s="1100">
        <f>10^((Y1+Y3*LN(X26)+Y5*LN(X26)^2+AA2*LN(X26)^3+ AA5*LN(X26)^4)/(1+Y2*LN(X26)+Y4*LN(X26)^2+AA1*LN(X26)^3+AA3*LN(X26)^4+AA4*LN(X26)^5))</f>
        <v>500.02166501681347</v>
      </c>
      <c r="Z26" s="1087"/>
      <c r="AA26" s="1100">
        <f t="shared" si="5"/>
        <v>500</v>
      </c>
      <c r="AB26" s="1092">
        <f>AF1+AF2*LOG10(AA26)+AF3*LOG10(AA26)^2+AF4*LOG10(AA26)^3+AH1*LOG10(AA26)^4+AH2*LOG(AA26)^5+AH3*LOG10(AA26)^6+AH4*LOG10(AA26)^7+AH5*LOG10(AA26)^8</f>
        <v>705.93924276539917</v>
      </c>
      <c r="AC26" s="1092">
        <f t="shared" si="14"/>
        <v>0.26244343891402716</v>
      </c>
      <c r="AD26" s="1087"/>
      <c r="AE26" s="1087">
        <v>18</v>
      </c>
      <c r="AF26" s="1087">
        <v>4080</v>
      </c>
      <c r="AG26" s="1100">
        <f>AA26</f>
        <v>500</v>
      </c>
      <c r="AH26" s="1101">
        <f>AB26</f>
        <v>705.93924276539917</v>
      </c>
      <c r="AI26" s="1087"/>
      <c r="AJ26" s="1092"/>
      <c r="AK26" s="1092"/>
      <c r="AL26" s="1092"/>
      <c r="AM26" s="1092"/>
      <c r="AN26" s="1092"/>
    </row>
    <row r="27" spans="1:40" ht="14.1" customHeight="1" x14ac:dyDescent="0.3">
      <c r="K27" s="1080"/>
      <c r="M27" s="357"/>
      <c r="N27" s="358"/>
      <c r="O27" s="358"/>
      <c r="P27" s="358"/>
      <c r="Q27" s="358"/>
      <c r="R27" s="358"/>
      <c r="S27" s="358"/>
      <c r="T27" s="1111">
        <f>SUM(T10:T26)</f>
        <v>6</v>
      </c>
      <c r="U27" s="1112">
        <f>SUM(U10:U26)</f>
        <v>1</v>
      </c>
      <c r="X27" s="1087"/>
      <c r="Y27" s="1100"/>
      <c r="Z27" s="1087"/>
      <c r="AA27" s="1087"/>
      <c r="AB27" s="1092"/>
      <c r="AC27" s="1092"/>
      <c r="AD27" s="1087"/>
      <c r="AE27" s="1087"/>
      <c r="AF27" s="1087"/>
      <c r="AG27" s="1100"/>
      <c r="AH27" s="1101"/>
      <c r="AI27" s="1092"/>
      <c r="AJ27" s="1092"/>
      <c r="AK27" s="1092"/>
      <c r="AL27" s="1087"/>
      <c r="AM27" s="1087"/>
      <c r="AN27" s="1087"/>
    </row>
    <row r="28" spans="1:40" ht="14.1" customHeight="1" thickBot="1" x14ac:dyDescent="0.35">
      <c r="I28" s="1304" t="s">
        <v>836</v>
      </c>
      <c r="K28" s="1080"/>
      <c r="X28" s="1087"/>
      <c r="Y28" s="1100"/>
      <c r="Z28" s="1087"/>
      <c r="AA28" s="1087"/>
      <c r="AB28" s="1092"/>
      <c r="AC28" s="1092"/>
      <c r="AD28" s="1087"/>
      <c r="AE28" s="1087"/>
      <c r="AJ28" s="1092"/>
      <c r="AK28" s="1092"/>
      <c r="AL28" s="1087"/>
      <c r="AM28" s="1087"/>
      <c r="AN28" s="1087"/>
    </row>
    <row r="29" spans="1:40" ht="14.1" customHeight="1" x14ac:dyDescent="0.3">
      <c r="A29" s="1812" t="s">
        <v>303</v>
      </c>
      <c r="B29" s="1813"/>
      <c r="C29" s="959"/>
      <c r="D29" s="1823" t="s">
        <v>835</v>
      </c>
      <c r="E29" s="1823"/>
      <c r="F29" s="1823"/>
      <c r="G29" s="1824"/>
      <c r="H29" s="514" t="s">
        <v>290</v>
      </c>
      <c r="I29" s="1124">
        <v>1234</v>
      </c>
      <c r="J29" s="1126" t="s">
        <v>271</v>
      </c>
      <c r="K29" s="1080"/>
      <c r="X29" s="1087"/>
      <c r="Y29" s="1087"/>
      <c r="Z29" s="1087"/>
      <c r="AA29" s="1087"/>
      <c r="AB29" s="1087"/>
      <c r="AC29" s="1087"/>
      <c r="AD29" s="1087"/>
      <c r="AE29" s="1095" t="s">
        <v>370</v>
      </c>
      <c r="AF29" s="1095"/>
      <c r="AG29" s="1095" t="s">
        <v>371</v>
      </c>
      <c r="AH29" s="1095" t="s">
        <v>372</v>
      </c>
      <c r="AI29" s="1087"/>
      <c r="AJ29" s="1095"/>
      <c r="AK29" s="1095"/>
      <c r="AL29" s="1095"/>
      <c r="AM29" s="1095"/>
      <c r="AN29" s="1095"/>
    </row>
    <row r="30" spans="1:40" ht="14.1" customHeight="1" x14ac:dyDescent="0.3">
      <c r="A30" s="1096" t="s">
        <v>304</v>
      </c>
      <c r="B30" s="1306" t="s">
        <v>409</v>
      </c>
      <c r="C30" s="139" t="s">
        <v>914</v>
      </c>
      <c r="K30" s="1080"/>
      <c r="M30" s="1075" t="str">
        <f>H29</f>
        <v>Gauche</v>
      </c>
      <c r="Q30" s="1075" t="s">
        <v>447</v>
      </c>
      <c r="X30" s="1095" t="s">
        <v>374</v>
      </c>
      <c r="Y30" s="1095" t="s">
        <v>375</v>
      </c>
      <c r="Z30" s="1095"/>
      <c r="AA30" s="1095" t="s">
        <v>376</v>
      </c>
      <c r="AB30" s="1095" t="s">
        <v>377</v>
      </c>
      <c r="AC30" s="1095" t="s">
        <v>378</v>
      </c>
      <c r="AD30" s="1087"/>
      <c r="AE30" s="1095" t="s">
        <v>379</v>
      </c>
      <c r="AF30" s="1095" t="s">
        <v>380</v>
      </c>
      <c r="AG30" s="1095" t="s">
        <v>376</v>
      </c>
      <c r="AH30" s="1095" t="s">
        <v>377</v>
      </c>
      <c r="AI30" s="1087"/>
      <c r="AJ30" s="1098"/>
      <c r="AK30" s="1098"/>
      <c r="AL30" s="1095"/>
      <c r="AM30" s="1098"/>
      <c r="AN30" s="1098"/>
    </row>
    <row r="31" spans="1:40" ht="14.1" customHeight="1" x14ac:dyDescent="0.3">
      <c r="A31" s="1280">
        <v>1</v>
      </c>
      <c r="B31" s="1155">
        <v>0.82</v>
      </c>
      <c r="C31" s="1278"/>
      <c r="K31" s="1080"/>
      <c r="M31" s="359" t="s">
        <v>407</v>
      </c>
      <c r="N31" s="351" t="s">
        <v>408</v>
      </c>
      <c r="O31" s="352" t="s">
        <v>381</v>
      </c>
      <c r="P31" s="352" t="s">
        <v>382</v>
      </c>
      <c r="Q31" s="1113" t="s">
        <v>373</v>
      </c>
      <c r="R31" s="352" t="s">
        <v>383</v>
      </c>
      <c r="S31" s="352" t="s">
        <v>384</v>
      </c>
      <c r="T31" s="353" t="s">
        <v>410</v>
      </c>
      <c r="U31" s="354" t="s">
        <v>411</v>
      </c>
      <c r="X31" s="1092">
        <f>AH31</f>
        <v>63.650513471211895</v>
      </c>
      <c r="Y31" s="1100">
        <f>10^((Y50+Y52*LN(X31)+Y57*LN(X31)^2+AA51*LN(X31)^3+ AA57*LN(X31)^4)/(1+Y51*LN(X31)+Y55*LN(X31)^2+AA50*LN(X31)^3+AA52*LN(X31)^4+AA55*LN(X31)^5))</f>
        <v>0.82028608668471747</v>
      </c>
      <c r="Z31" s="1087"/>
      <c r="AA31" s="1100">
        <f>B31</f>
        <v>0.82</v>
      </c>
      <c r="AB31" s="1092">
        <f>AD50+AD51*LOG10(AA31)+AD52*LOG10(AA31)^2+AD55*LOG10(AA31)^3+AF50*LOG10(AA31)^4+AF51*LOG(AA31)^5+AF52*LOG10(AA31)^6+AF55*LOG10(AA31)^7+AF57*LOG10(AA31)^8</f>
        <v>63.650513471211895</v>
      </c>
      <c r="AC31" s="1087"/>
      <c r="AD31" s="1087"/>
      <c r="AE31" s="1087">
        <v>1</v>
      </c>
      <c r="AF31" s="1087">
        <v>0</v>
      </c>
      <c r="AG31" s="1100">
        <f>AA31</f>
        <v>0.82</v>
      </c>
      <c r="AH31" s="1101">
        <f>AB31</f>
        <v>63.650513471211895</v>
      </c>
      <c r="AI31" s="1087"/>
      <c r="AJ31" s="1087"/>
      <c r="AK31" s="1087"/>
      <c r="AL31" s="1087"/>
      <c r="AM31" s="1087"/>
      <c r="AN31" s="1087"/>
    </row>
    <row r="32" spans="1:40" ht="14.1" customHeight="1" x14ac:dyDescent="0.3">
      <c r="A32" s="1280">
        <v>2</v>
      </c>
      <c r="B32" s="1155">
        <v>1.31</v>
      </c>
      <c r="C32" s="1278">
        <f>W32</f>
        <v>-0.41033734132709454</v>
      </c>
      <c r="K32" s="1080"/>
      <c r="M32" s="1103">
        <f t="shared" ref="M32:M48" si="16">AF32</f>
        <v>240</v>
      </c>
      <c r="N32" s="1104">
        <f t="shared" ref="N32:N48" si="17">AC32</f>
        <v>0.46009389671361517</v>
      </c>
      <c r="O32" s="1105">
        <f t="shared" ref="O32:O48" si="18">Q32*1.2</f>
        <v>0.93631955141762369</v>
      </c>
      <c r="P32" s="1105">
        <f t="shared" ref="P32:P48" si="19">Q32*1.1</f>
        <v>0.85829292213282182</v>
      </c>
      <c r="Q32" s="1114">
        <f t="shared" ref="Q32:Q48" si="20">2*($AG32-$AG31)/($AG32+$AG31)</f>
        <v>0.78026629284801974</v>
      </c>
      <c r="R32" s="1105">
        <f t="shared" ref="R32:R48" si="21">Q32*0.9</f>
        <v>0.70223966356321776</v>
      </c>
      <c r="S32" s="1105">
        <f t="shared" ref="S32:S48" si="22">Q32*0.8</f>
        <v>0.62421303427841579</v>
      </c>
      <c r="T32" s="1107">
        <f>IF(AND(N32&lt;=P32,N32&gt;=R32),0,1)</f>
        <v>1</v>
      </c>
      <c r="U32" s="355">
        <f>IF(AND(N32&lt;=O32,N32&gt;=S32),0,1)</f>
        <v>1</v>
      </c>
      <c r="V32" s="1099">
        <f>IF(AND(N32&lt;=P32,N32&gt;=R32),1,0)</f>
        <v>0</v>
      </c>
      <c r="W32" s="1279">
        <f>($N32-$Q32)/$Q32</f>
        <v>-0.41033734132709454</v>
      </c>
      <c r="X32" s="1092">
        <f t="shared" ref="X32:X48" si="23">AH32</f>
        <v>100.50947697744886</v>
      </c>
      <c r="Y32" s="1100">
        <f>10^((Y50+Y52*LN(X32)+Y57*LN(X32)^2+AA51*LN(X32)^3+ AA57*LN(X32)^4)/(1+Y51*LN(X32)+Y55*LN(X32)^2+AA50*LN(X32)^3+AA52*LN(X32)^4+AA55*LN(X32)^5))</f>
        <v>1.8691115501420734</v>
      </c>
      <c r="Z32" s="1087"/>
      <c r="AA32" s="1100">
        <f t="shared" ref="AA32:AA48" si="24">B32</f>
        <v>1.31</v>
      </c>
      <c r="AB32" s="1092"/>
      <c r="AC32" s="1092">
        <f>(AA32-AA31)*2/(AA32+AA31)</f>
        <v>0.46009389671361517</v>
      </c>
      <c r="AD32" s="1087"/>
      <c r="AE32" s="1087">
        <v>2</v>
      </c>
      <c r="AF32" s="1087">
        <v>240</v>
      </c>
      <c r="AG32" s="1100">
        <f>Y32</f>
        <v>1.8691115501420734</v>
      </c>
      <c r="AH32" s="1092">
        <f>AK51*AF32+AH31</f>
        <v>100.50947697744886</v>
      </c>
      <c r="AI32" s="1087"/>
      <c r="AJ32" s="1092"/>
      <c r="AK32" s="1092"/>
      <c r="AL32" s="1092"/>
      <c r="AM32" s="1092"/>
      <c r="AN32" s="1092"/>
    </row>
    <row r="33" spans="1:40" ht="14.1" customHeight="1" x14ac:dyDescent="0.3">
      <c r="A33" s="1280">
        <v>3</v>
      </c>
      <c r="B33" s="1155">
        <v>2.67</v>
      </c>
      <c r="C33" s="1278">
        <f t="shared" ref="C33:C48" si="25">W33</f>
        <v>0.11388690704032017</v>
      </c>
      <c r="K33" s="1080"/>
      <c r="M33" s="1103">
        <f t="shared" si="16"/>
        <v>480</v>
      </c>
      <c r="N33" s="1104">
        <f t="shared" si="17"/>
        <v>0.68341708542713564</v>
      </c>
      <c r="O33" s="1105">
        <f t="shared" si="18"/>
        <v>0.73625113764163941</v>
      </c>
      <c r="P33" s="1105">
        <f t="shared" si="19"/>
        <v>0.67489687617150285</v>
      </c>
      <c r="Q33" s="1114">
        <f t="shared" si="20"/>
        <v>0.61354261470136617</v>
      </c>
      <c r="R33" s="1105">
        <f t="shared" si="21"/>
        <v>0.55218835323122961</v>
      </c>
      <c r="S33" s="1105">
        <f t="shared" si="22"/>
        <v>0.49083409176109294</v>
      </c>
      <c r="T33" s="1107">
        <f t="shared" ref="T33:T48" si="26">IF(AND(N33&lt;=P33,N33&gt;=R33),0,1)</f>
        <v>1</v>
      </c>
      <c r="U33" s="355">
        <f t="shared" ref="U33:U48" si="27">IF(AND(N33&lt;=O33,N33&gt;=S33),0,1)</f>
        <v>0</v>
      </c>
      <c r="V33" s="1099">
        <f t="shared" ref="V33:V48" si="28">IF(AND(N33&lt;=P33,N33&gt;=R33),1,0)</f>
        <v>0</v>
      </c>
      <c r="W33" s="1279">
        <f t="shared" ref="W33:W48" si="29">($N33-$Q33)/$Q33</f>
        <v>0.11388690704032017</v>
      </c>
      <c r="X33" s="1092">
        <f t="shared" si="23"/>
        <v>137.36844048368579</v>
      </c>
      <c r="Y33" s="1100">
        <f>10^((Y50+Y52*LN(X33)+Y57*LN(X33)^2+AA51*LN(X33)^3+ AA57*LN(X33)^4)/(1+Y51*LN(X33)+Y55*LN(X33)^2+AA50*LN(X33)^3+AA52*LN(X33)^4+AA55*LN(X33)^5))</f>
        <v>3.5233702382238317</v>
      </c>
      <c r="Z33" s="1087"/>
      <c r="AA33" s="1100">
        <f t="shared" si="24"/>
        <v>2.67</v>
      </c>
      <c r="AB33" s="1092"/>
      <c r="AC33" s="1092">
        <f t="shared" ref="AC33:AC48" si="30">(AA33-AA32)*2/(AA33+AA32)</f>
        <v>0.68341708542713564</v>
      </c>
      <c r="AD33" s="1087"/>
      <c r="AE33" s="1087">
        <v>3</v>
      </c>
      <c r="AF33" s="1087">
        <v>480</v>
      </c>
      <c r="AG33" s="1100">
        <f t="shared" ref="AG33:AG47" si="31">Y33</f>
        <v>3.5233702382238317</v>
      </c>
      <c r="AH33" s="1092">
        <f>AK51*AF33+AH31</f>
        <v>137.36844048368579</v>
      </c>
      <c r="AI33" s="1087"/>
      <c r="AJ33" s="1092"/>
      <c r="AK33" s="1092"/>
      <c r="AL33" s="1092"/>
      <c r="AM33" s="1092"/>
      <c r="AN33" s="1092"/>
    </row>
    <row r="34" spans="1:40" ht="14.1" customHeight="1" x14ac:dyDescent="0.3">
      <c r="A34" s="1280">
        <v>4</v>
      </c>
      <c r="B34" s="1155">
        <v>4.7</v>
      </c>
      <c r="C34" s="1278">
        <f t="shared" si="25"/>
        <v>7.5033684329221487E-2</v>
      </c>
      <c r="K34" s="1080"/>
      <c r="M34" s="1103">
        <f t="shared" si="16"/>
        <v>720</v>
      </c>
      <c r="N34" s="1104">
        <f t="shared" si="17"/>
        <v>0.55088195386702854</v>
      </c>
      <c r="O34" s="1105">
        <f t="shared" si="18"/>
        <v>0.61491872699124628</v>
      </c>
      <c r="P34" s="1105">
        <f t="shared" si="19"/>
        <v>0.56367549974197584</v>
      </c>
      <c r="Q34" s="1114">
        <f t="shared" si="20"/>
        <v>0.51243227249270529</v>
      </c>
      <c r="R34" s="1105">
        <f t="shared" si="21"/>
        <v>0.46118904524343479</v>
      </c>
      <c r="S34" s="1105">
        <f t="shared" si="22"/>
        <v>0.40994581799416424</v>
      </c>
      <c r="T34" s="1107">
        <f t="shared" si="26"/>
        <v>0</v>
      </c>
      <c r="U34" s="355">
        <f t="shared" si="27"/>
        <v>0</v>
      </c>
      <c r="V34" s="1099">
        <f t="shared" si="28"/>
        <v>1</v>
      </c>
      <c r="W34" s="1279">
        <f t="shared" si="29"/>
        <v>7.5033684329221487E-2</v>
      </c>
      <c r="X34" s="1092">
        <f t="shared" si="23"/>
        <v>174.22740398992275</v>
      </c>
      <c r="Y34" s="1100">
        <f>10^((Y50+Y52*LN(X34)+Y57*LN(X34)^2+AA51*LN(X34)^3+ AA57*LN(X34)^4)/(1+Y51*LN(X34)+Y55*LN(X34)^2+AA50*LN(X34)^3+AA52*LN(X34)^4+AA55*LN(X34)^5))</f>
        <v>5.950807436033501</v>
      </c>
      <c r="Z34" s="1087"/>
      <c r="AA34" s="1100">
        <f t="shared" si="24"/>
        <v>4.7</v>
      </c>
      <c r="AB34" s="1092"/>
      <c r="AC34" s="1092">
        <f t="shared" si="30"/>
        <v>0.55088195386702854</v>
      </c>
      <c r="AD34" s="1087"/>
      <c r="AE34" s="1087">
        <v>4</v>
      </c>
      <c r="AF34" s="1087">
        <v>720</v>
      </c>
      <c r="AG34" s="1100">
        <f t="shared" si="31"/>
        <v>5.950807436033501</v>
      </c>
      <c r="AH34" s="1092">
        <f>AK51*AF34+AH31</f>
        <v>174.22740398992275</v>
      </c>
      <c r="AI34" s="1087"/>
      <c r="AJ34" s="1092"/>
      <c r="AK34" s="1092"/>
      <c r="AL34" s="1092"/>
      <c r="AM34" s="1092"/>
      <c r="AN34" s="1092"/>
    </row>
    <row r="35" spans="1:40" ht="14.1" customHeight="1" x14ac:dyDescent="0.3">
      <c r="A35" s="1280">
        <v>5</v>
      </c>
      <c r="B35" s="1155">
        <v>7.63</v>
      </c>
      <c r="C35" s="1278">
        <f t="shared" si="25"/>
        <v>6.6760107182426115E-2</v>
      </c>
      <c r="K35" s="1080"/>
      <c r="M35" s="1103">
        <f t="shared" si="16"/>
        <v>960</v>
      </c>
      <c r="N35" s="1104">
        <f t="shared" si="17"/>
        <v>0.4752635847526358</v>
      </c>
      <c r="O35" s="1105">
        <f t="shared" si="18"/>
        <v>0.53462469946453806</v>
      </c>
      <c r="P35" s="1105">
        <f t="shared" si="19"/>
        <v>0.49007264117582661</v>
      </c>
      <c r="Q35" s="1114">
        <f t="shared" si="20"/>
        <v>0.44552058288711505</v>
      </c>
      <c r="R35" s="1105">
        <f t="shared" si="21"/>
        <v>0.40096852459840354</v>
      </c>
      <c r="S35" s="1105">
        <f t="shared" si="22"/>
        <v>0.35641646630969204</v>
      </c>
      <c r="T35" s="1107">
        <f t="shared" si="26"/>
        <v>0</v>
      </c>
      <c r="U35" s="355">
        <f t="shared" si="27"/>
        <v>0</v>
      </c>
      <c r="V35" s="1099">
        <f t="shared" si="28"/>
        <v>1</v>
      </c>
      <c r="W35" s="1279">
        <f t="shared" si="29"/>
        <v>6.6760107182426115E-2</v>
      </c>
      <c r="X35" s="1092">
        <f t="shared" si="23"/>
        <v>211.08636749615971</v>
      </c>
      <c r="Y35" s="1100">
        <f>10^((Y50+Y52*LN(X35)+Y57*LN(X35)^2+AA51*LN(X35)^3+ AA57*LN(X35)^4)/(1+Y51*LN(X35)+Y55*LN(X35)^2+AA50*LN(X35)^3+AA52*LN(X35)^4+AA55*LN(X35)^5))</f>
        <v>9.3618621831908193</v>
      </c>
      <c r="Z35" s="1087"/>
      <c r="AA35" s="1100">
        <f t="shared" si="24"/>
        <v>7.63</v>
      </c>
      <c r="AB35" s="1092"/>
      <c r="AC35" s="1092">
        <f t="shared" si="30"/>
        <v>0.4752635847526358</v>
      </c>
      <c r="AD35" s="1087"/>
      <c r="AE35" s="1087">
        <v>5</v>
      </c>
      <c r="AF35" s="1087">
        <v>960</v>
      </c>
      <c r="AG35" s="1100">
        <f t="shared" si="31"/>
        <v>9.3618621831908193</v>
      </c>
      <c r="AH35" s="1092">
        <f>AK51*AF35+AH31</f>
        <v>211.08636749615971</v>
      </c>
      <c r="AI35" s="1087"/>
      <c r="AJ35" s="1092"/>
      <c r="AK35" s="1092"/>
      <c r="AL35" s="1092"/>
      <c r="AM35" s="1092"/>
      <c r="AN35" s="1092"/>
    </row>
    <row r="36" spans="1:40" ht="14.1" customHeight="1" x14ac:dyDescent="0.3">
      <c r="A36" s="1280">
        <v>6</v>
      </c>
      <c r="B36" s="1155">
        <v>11.6</v>
      </c>
      <c r="C36" s="1278">
        <f t="shared" si="25"/>
        <v>3.5904583865449556E-2</v>
      </c>
      <c r="K36" s="1080"/>
      <c r="M36" s="1103">
        <f t="shared" si="16"/>
        <v>1200</v>
      </c>
      <c r="N36" s="1104">
        <f t="shared" si="17"/>
        <v>0.41289651586063442</v>
      </c>
      <c r="O36" s="1105">
        <f t="shared" si="18"/>
        <v>0.47830256449286751</v>
      </c>
      <c r="P36" s="1105">
        <f t="shared" si="19"/>
        <v>0.43844401745179529</v>
      </c>
      <c r="Q36" s="1114">
        <f t="shared" si="20"/>
        <v>0.39858547041072295</v>
      </c>
      <c r="R36" s="1105">
        <f t="shared" si="21"/>
        <v>0.35872692336965067</v>
      </c>
      <c r="S36" s="1105">
        <f t="shared" si="22"/>
        <v>0.3188683763285784</v>
      </c>
      <c r="T36" s="1107">
        <f t="shared" si="26"/>
        <v>0</v>
      </c>
      <c r="U36" s="355">
        <f t="shared" si="27"/>
        <v>0</v>
      </c>
      <c r="V36" s="1099">
        <f t="shared" si="28"/>
        <v>1</v>
      </c>
      <c r="W36" s="1279">
        <f t="shared" si="29"/>
        <v>3.5904583865449556E-2</v>
      </c>
      <c r="X36" s="1092">
        <f t="shared" si="23"/>
        <v>247.94533100239667</v>
      </c>
      <c r="Y36" s="1100">
        <f>10^((Y50+Y52*LN(X36)+Y57*LN(X36)^2+AA51*LN(X36)^3+ AA57*LN(X36)^4)/(1+Y51*LN(X36)+Y55*LN(X36)^2+AA50*LN(X36)^3+AA52*LN(X36)^4+AA55*LN(X36)^5))</f>
        <v>14.022119940642924</v>
      </c>
      <c r="Z36" s="1087"/>
      <c r="AA36" s="1100">
        <f t="shared" si="24"/>
        <v>11.6</v>
      </c>
      <c r="AB36" s="1092"/>
      <c r="AC36" s="1092">
        <f t="shared" si="30"/>
        <v>0.41289651586063442</v>
      </c>
      <c r="AD36" s="1087"/>
      <c r="AE36" s="1087">
        <v>6</v>
      </c>
      <c r="AF36" s="1087">
        <v>1200</v>
      </c>
      <c r="AG36" s="1100">
        <f t="shared" si="31"/>
        <v>14.022119940642924</v>
      </c>
      <c r="AH36" s="1092">
        <f>AK51*AF36+AH31</f>
        <v>247.94533100239667</v>
      </c>
      <c r="AI36" s="1087"/>
      <c r="AJ36" s="1092"/>
      <c r="AK36" s="1092"/>
      <c r="AL36" s="1092"/>
      <c r="AM36" s="1092"/>
      <c r="AN36" s="1092"/>
    </row>
    <row r="37" spans="1:40" ht="14.1" customHeight="1" x14ac:dyDescent="0.3">
      <c r="A37" s="1280">
        <v>7</v>
      </c>
      <c r="B37" s="1155">
        <v>17</v>
      </c>
      <c r="C37" s="1278">
        <f t="shared" si="25"/>
        <v>3.6689403513942856E-2</v>
      </c>
      <c r="K37" s="1080"/>
      <c r="M37" s="1103">
        <f t="shared" si="16"/>
        <v>1440</v>
      </c>
      <c r="N37" s="1104">
        <f t="shared" si="17"/>
        <v>0.3776223776223776</v>
      </c>
      <c r="O37" s="1105">
        <f t="shared" si="18"/>
        <v>0.43710956397439299</v>
      </c>
      <c r="P37" s="1105">
        <f t="shared" si="19"/>
        <v>0.40068376697652697</v>
      </c>
      <c r="Q37" s="1114">
        <f t="shared" si="20"/>
        <v>0.36425796997866083</v>
      </c>
      <c r="R37" s="1105">
        <f t="shared" si="21"/>
        <v>0.32783217298079476</v>
      </c>
      <c r="S37" s="1105">
        <f t="shared" si="22"/>
        <v>0.29140637598292868</v>
      </c>
      <c r="T37" s="1107">
        <f t="shared" si="26"/>
        <v>0</v>
      </c>
      <c r="U37" s="355">
        <f t="shared" si="27"/>
        <v>0</v>
      </c>
      <c r="V37" s="1099">
        <f t="shared" si="28"/>
        <v>1</v>
      </c>
      <c r="W37" s="1279">
        <f t="shared" si="29"/>
        <v>3.6689403513942856E-2</v>
      </c>
      <c r="X37" s="1092">
        <f t="shared" si="23"/>
        <v>284.80429450863357</v>
      </c>
      <c r="Y37" s="1100">
        <f>10^((Y50+Y52*LN(X37)+Y57*LN(X37)^2+AA51*LN(X37)^3+ AA57*LN(X37)^4)/(1+Y51*LN(X37)+Y55*LN(X37)^2+AA50*LN(X37)^3+AA52*LN(X37)^4+AA55*LN(X37)^5))</f>
        <v>20.267198749688699</v>
      </c>
      <c r="Z37" s="1087"/>
      <c r="AA37" s="1100">
        <f t="shared" si="24"/>
        <v>17</v>
      </c>
      <c r="AB37" s="1092"/>
      <c r="AC37" s="1092">
        <f t="shared" si="30"/>
        <v>0.3776223776223776</v>
      </c>
      <c r="AD37" s="1087"/>
      <c r="AE37" s="1087">
        <v>7</v>
      </c>
      <c r="AF37" s="1087">
        <v>1440</v>
      </c>
      <c r="AG37" s="1100">
        <f t="shared" si="31"/>
        <v>20.267198749688699</v>
      </c>
      <c r="AH37" s="1092">
        <f>AK51*AF37+AH31</f>
        <v>284.80429450863357</v>
      </c>
      <c r="AI37" s="1087"/>
      <c r="AJ37" s="1092"/>
      <c r="AK37" s="1092"/>
      <c r="AL37" s="1092"/>
      <c r="AM37" s="1092"/>
      <c r="AN37" s="1092"/>
    </row>
    <row r="38" spans="1:40" ht="14.1" customHeight="1" x14ac:dyDescent="0.3">
      <c r="A38" s="1280">
        <v>8</v>
      </c>
      <c r="B38" s="1155">
        <v>23</v>
      </c>
      <c r="C38" s="1278">
        <f t="shared" si="25"/>
        <v>-0.11336750764999401</v>
      </c>
      <c r="K38" s="1080"/>
      <c r="M38" s="1103">
        <f t="shared" si="16"/>
        <v>1680</v>
      </c>
      <c r="N38" s="1104">
        <f t="shared" si="17"/>
        <v>0.3</v>
      </c>
      <c r="O38" s="1105">
        <f t="shared" si="18"/>
        <v>0.40603068701647221</v>
      </c>
      <c r="P38" s="1105">
        <f t="shared" si="19"/>
        <v>0.37219479643176623</v>
      </c>
      <c r="Q38" s="1114">
        <f t="shared" si="20"/>
        <v>0.33835890584706019</v>
      </c>
      <c r="R38" s="1105">
        <f t="shared" si="21"/>
        <v>0.3045230152623542</v>
      </c>
      <c r="S38" s="1105">
        <f t="shared" si="22"/>
        <v>0.27068712467764816</v>
      </c>
      <c r="T38" s="1107">
        <f t="shared" si="26"/>
        <v>1</v>
      </c>
      <c r="U38" s="355">
        <f t="shared" si="27"/>
        <v>0</v>
      </c>
      <c r="V38" s="1099">
        <f t="shared" si="28"/>
        <v>0</v>
      </c>
      <c r="W38" s="1279">
        <f t="shared" si="29"/>
        <v>-0.11336750764999401</v>
      </c>
      <c r="X38" s="1092">
        <f t="shared" si="23"/>
        <v>321.66325801487051</v>
      </c>
      <c r="Y38" s="1100">
        <f>10^((Y50+Y52*LN(X38)+Y57*LN(X38)^2+AA51*LN(X38)^3+ AA57*LN(X38)^4)/(1+Y51*LN(X38)+Y55*LN(X38)^2+AA50*LN(X38)^3+AA52*LN(X38)^4+AA55*LN(X38)^5))</f>
        <v>28.521192006909374</v>
      </c>
      <c r="Z38" s="1087"/>
      <c r="AA38" s="1100">
        <f t="shared" si="24"/>
        <v>23</v>
      </c>
      <c r="AB38" s="1092"/>
      <c r="AC38" s="1092">
        <f t="shared" si="30"/>
        <v>0.3</v>
      </c>
      <c r="AD38" s="1087"/>
      <c r="AE38" s="1087">
        <v>8</v>
      </c>
      <c r="AF38" s="1087">
        <v>1680</v>
      </c>
      <c r="AG38" s="1100">
        <f t="shared" si="31"/>
        <v>28.521192006909374</v>
      </c>
      <c r="AH38" s="1092">
        <f>AK51*AF38+AH31</f>
        <v>321.66325801487051</v>
      </c>
      <c r="AI38" s="1087"/>
      <c r="AJ38" s="1092"/>
      <c r="AK38" s="1092"/>
      <c r="AL38" s="1092"/>
      <c r="AM38" s="1092"/>
      <c r="AN38" s="1092"/>
    </row>
    <row r="39" spans="1:40" ht="14.1" customHeight="1" x14ac:dyDescent="0.3">
      <c r="A39" s="1280">
        <v>9</v>
      </c>
      <c r="B39" s="1155">
        <v>33.9</v>
      </c>
      <c r="C39" s="1278">
        <f t="shared" si="25"/>
        <v>0.20347770110282326</v>
      </c>
      <c r="K39" s="1080"/>
      <c r="M39" s="1103">
        <f t="shared" si="16"/>
        <v>1920</v>
      </c>
      <c r="N39" s="1104">
        <f t="shared" si="17"/>
        <v>0.383128295254833</v>
      </c>
      <c r="O39" s="1105">
        <f t="shared" si="18"/>
        <v>0.38202116573036438</v>
      </c>
      <c r="P39" s="1105">
        <f t="shared" si="19"/>
        <v>0.35018606858616741</v>
      </c>
      <c r="Q39" s="1114">
        <f t="shared" si="20"/>
        <v>0.31835097144197033</v>
      </c>
      <c r="R39" s="1105">
        <f t="shared" si="21"/>
        <v>0.28651587429777331</v>
      </c>
      <c r="S39" s="1105">
        <f t="shared" si="22"/>
        <v>0.25468077715357629</v>
      </c>
      <c r="T39" s="1107">
        <f t="shared" si="26"/>
        <v>1</v>
      </c>
      <c r="U39" s="355">
        <f t="shared" si="27"/>
        <v>1</v>
      </c>
      <c r="V39" s="1099">
        <f t="shared" si="28"/>
        <v>0</v>
      </c>
      <c r="W39" s="1279">
        <f t="shared" si="29"/>
        <v>0.20347770110282326</v>
      </c>
      <c r="X39" s="1092">
        <f t="shared" si="23"/>
        <v>358.52222152110755</v>
      </c>
      <c r="Y39" s="1100">
        <f>10^((Y50+Y52*LN(X39)+Y57*LN(X39)^2+AA51*LN(X39)^3+ AA57*LN(X39)^4)/(1+Y51*LN(X39)+Y55*LN(X39)^2+AA50*LN(X39)^3+AA52*LN(X39)^4+AA55*LN(X39)^5))</f>
        <v>39.319817674797051</v>
      </c>
      <c r="Z39" s="1087"/>
      <c r="AA39" s="1100">
        <f t="shared" si="24"/>
        <v>33.9</v>
      </c>
      <c r="AB39" s="1092"/>
      <c r="AC39" s="1092">
        <f t="shared" si="30"/>
        <v>0.383128295254833</v>
      </c>
      <c r="AD39" s="1087"/>
      <c r="AE39" s="1087">
        <v>9</v>
      </c>
      <c r="AF39" s="1087">
        <v>1920</v>
      </c>
      <c r="AG39" s="1100">
        <f t="shared" si="31"/>
        <v>39.319817674797051</v>
      </c>
      <c r="AH39" s="1092">
        <f>AK51*AF39+AH31</f>
        <v>358.52222152110755</v>
      </c>
      <c r="AI39" s="1087"/>
      <c r="AJ39" s="1092"/>
      <c r="AK39" s="1092"/>
      <c r="AL39" s="1092"/>
      <c r="AM39" s="1092"/>
      <c r="AN39" s="1092"/>
    </row>
    <row r="40" spans="1:40" ht="14.1" customHeight="1" x14ac:dyDescent="0.3">
      <c r="A40" s="1280">
        <v>10</v>
      </c>
      <c r="B40" s="1155">
        <v>46.7</v>
      </c>
      <c r="C40" s="1278">
        <f t="shared" si="25"/>
        <v>4.9596853010247445E-2</v>
      </c>
      <c r="K40" s="1080"/>
      <c r="M40" s="1103">
        <f t="shared" si="16"/>
        <v>2160</v>
      </c>
      <c r="N40" s="1104">
        <f t="shared" si="17"/>
        <v>0.31761786600496289</v>
      </c>
      <c r="O40" s="1105">
        <f t="shared" si="18"/>
        <v>0.36313127093782765</v>
      </c>
      <c r="P40" s="1105">
        <f t="shared" si="19"/>
        <v>0.33287033169300873</v>
      </c>
      <c r="Q40" s="1114">
        <f t="shared" si="20"/>
        <v>0.30260939244818974</v>
      </c>
      <c r="R40" s="1105">
        <f t="shared" si="21"/>
        <v>0.27234845320337076</v>
      </c>
      <c r="S40" s="1105">
        <f t="shared" si="22"/>
        <v>0.2420875139585518</v>
      </c>
      <c r="T40" s="1107">
        <f t="shared" si="26"/>
        <v>0</v>
      </c>
      <c r="U40" s="355">
        <f t="shared" si="27"/>
        <v>0</v>
      </c>
      <c r="V40" s="1099">
        <f t="shared" si="28"/>
        <v>1</v>
      </c>
      <c r="W40" s="1279">
        <f t="shared" si="29"/>
        <v>4.9596853010247445E-2</v>
      </c>
      <c r="X40" s="1092">
        <f t="shared" si="23"/>
        <v>395.38118502734449</v>
      </c>
      <c r="Y40" s="1100">
        <f>10^((Y50+Y52*LN(X40)+Y57*LN(X40)^2+AA51*LN(X40)^3+ AA57*LN(X40)^4)/(1+Y51*LN(X40)+Y55*LN(X40)^2+AA50*LN(X40)^3+AA52*LN(X40)^4+AA55*LN(X40)^5))</f>
        <v>53.339626768598393</v>
      </c>
      <c r="Z40" s="1087"/>
      <c r="AA40" s="1100">
        <f t="shared" si="24"/>
        <v>46.7</v>
      </c>
      <c r="AB40" s="1092"/>
      <c r="AC40" s="1092">
        <f t="shared" si="30"/>
        <v>0.31761786600496289</v>
      </c>
      <c r="AD40" s="1087"/>
      <c r="AE40" s="1087">
        <v>10</v>
      </c>
      <c r="AF40" s="1087">
        <v>2160</v>
      </c>
      <c r="AG40" s="1100">
        <f t="shared" si="31"/>
        <v>53.339626768598393</v>
      </c>
      <c r="AH40" s="1092">
        <f>AK51*AF40+AH31</f>
        <v>395.38118502734449</v>
      </c>
      <c r="AI40" s="1087"/>
      <c r="AJ40" s="1092"/>
      <c r="AK40" s="1092"/>
      <c r="AL40" s="1092"/>
      <c r="AM40" s="1092"/>
      <c r="AN40" s="1092"/>
    </row>
    <row r="41" spans="1:40" ht="14.1" customHeight="1" x14ac:dyDescent="0.3">
      <c r="A41" s="1280">
        <v>11</v>
      </c>
      <c r="B41" s="1155">
        <v>63.5</v>
      </c>
      <c r="C41" s="1278">
        <f t="shared" si="25"/>
        <v>5.1205198021977129E-2</v>
      </c>
      <c r="K41" s="1080"/>
      <c r="M41" s="1103">
        <f t="shared" si="16"/>
        <v>2400</v>
      </c>
      <c r="N41" s="1104">
        <f t="shared" si="17"/>
        <v>0.30490018148820319</v>
      </c>
      <c r="O41" s="1105">
        <f t="shared" si="18"/>
        <v>0.34805784681650187</v>
      </c>
      <c r="P41" s="1105">
        <f t="shared" si="19"/>
        <v>0.31905302624846005</v>
      </c>
      <c r="Q41" s="1114">
        <f t="shared" si="20"/>
        <v>0.29004820568041823</v>
      </c>
      <c r="R41" s="1105">
        <f t="shared" si="21"/>
        <v>0.2610433851123764</v>
      </c>
      <c r="S41" s="1105">
        <f t="shared" si="22"/>
        <v>0.23203856454433458</v>
      </c>
      <c r="T41" s="1107">
        <f t="shared" si="26"/>
        <v>0</v>
      </c>
      <c r="U41" s="355">
        <f t="shared" si="27"/>
        <v>0</v>
      </c>
      <c r="V41" s="1099">
        <f t="shared" si="28"/>
        <v>1</v>
      </c>
      <c r="W41" s="1279">
        <f t="shared" si="29"/>
        <v>5.1205198021977129E-2</v>
      </c>
      <c r="X41" s="1092">
        <f t="shared" si="23"/>
        <v>432.24014853358142</v>
      </c>
      <c r="Y41" s="1100">
        <f>10^((Y50+Y52*LN(X41)+Y57*LN(X41)^2+AA51*LN(X41)^3+ AA57*LN(X41)^4)/(1+Y51*LN(X41)+Y55*LN(X41)^2+AA50*LN(X41)^3+AA52*LN(X41)^4+AA55*LN(X41)^5))</f>
        <v>71.434947452245339</v>
      </c>
      <c r="Z41" s="1087"/>
      <c r="AA41" s="1100">
        <f t="shared" si="24"/>
        <v>63.5</v>
      </c>
      <c r="AB41" s="1092"/>
      <c r="AC41" s="1092">
        <f t="shared" si="30"/>
        <v>0.30490018148820319</v>
      </c>
      <c r="AD41" s="1087"/>
      <c r="AE41" s="1087">
        <v>11</v>
      </c>
      <c r="AF41" s="1087">
        <v>2400</v>
      </c>
      <c r="AG41" s="1100">
        <f t="shared" si="31"/>
        <v>71.434947452245339</v>
      </c>
      <c r="AH41" s="1092">
        <f>AK51*AF41+AH31</f>
        <v>432.24014853358142</v>
      </c>
      <c r="AI41" s="1087"/>
      <c r="AJ41" s="1092"/>
      <c r="AK41" s="1092"/>
      <c r="AL41" s="1092"/>
      <c r="AM41" s="1092"/>
      <c r="AN41" s="1092"/>
    </row>
    <row r="42" spans="1:40" ht="14.1" customHeight="1" x14ac:dyDescent="0.3">
      <c r="A42" s="1280">
        <v>12</v>
      </c>
      <c r="B42" s="1155">
        <v>85</v>
      </c>
      <c r="C42" s="1278">
        <f t="shared" si="25"/>
        <v>3.4463008650346745E-2</v>
      </c>
      <c r="E42" s="1115"/>
      <c r="F42" s="1116"/>
      <c r="G42" s="1116"/>
      <c r="K42" s="1080"/>
      <c r="M42" s="1103">
        <f t="shared" si="16"/>
        <v>2640</v>
      </c>
      <c r="N42" s="1104">
        <f t="shared" si="17"/>
        <v>0.28956228956228958</v>
      </c>
      <c r="O42" s="1105">
        <f t="shared" si="18"/>
        <v>0.33589866874804369</v>
      </c>
      <c r="P42" s="1105">
        <f t="shared" si="19"/>
        <v>0.30790711301904011</v>
      </c>
      <c r="Q42" s="1114">
        <f t="shared" si="20"/>
        <v>0.27991555729003642</v>
      </c>
      <c r="R42" s="1105">
        <f t="shared" si="21"/>
        <v>0.25192400156103278</v>
      </c>
      <c r="S42" s="1105">
        <f t="shared" si="22"/>
        <v>0.22393244583202915</v>
      </c>
      <c r="T42" s="1107">
        <f t="shared" si="26"/>
        <v>0</v>
      </c>
      <c r="U42" s="355">
        <f t="shared" si="27"/>
        <v>0</v>
      </c>
      <c r="V42" s="1099">
        <f t="shared" si="28"/>
        <v>1</v>
      </c>
      <c r="W42" s="1279">
        <f t="shared" si="29"/>
        <v>3.4463008650346745E-2</v>
      </c>
      <c r="X42" s="1092">
        <f t="shared" si="23"/>
        <v>469.09911203981835</v>
      </c>
      <c r="Y42" s="1100">
        <f>10^((Y50+Y52*LN(X42)+Y57*LN(X42)^2+AA51*LN(X42)^3+ AA57*LN(X42)^4)/(1+Y51*LN(X42)+Y55*LN(X42)^2+AA50*LN(X42)^3+AA52*LN(X42)^4+AA55*LN(X42)^5))</f>
        <v>94.684681743867387</v>
      </c>
      <c r="Z42" s="1087"/>
      <c r="AA42" s="1100">
        <f t="shared" si="24"/>
        <v>85</v>
      </c>
      <c r="AB42" s="1092"/>
      <c r="AC42" s="1092">
        <f t="shared" si="30"/>
        <v>0.28956228956228958</v>
      </c>
      <c r="AD42" s="1087"/>
      <c r="AE42" s="1087">
        <v>12</v>
      </c>
      <c r="AF42" s="1087">
        <v>2640</v>
      </c>
      <c r="AG42" s="1100">
        <f t="shared" si="31"/>
        <v>94.684681743867387</v>
      </c>
      <c r="AH42" s="1092">
        <f>AK51*AF42+AH31</f>
        <v>469.09911203981835</v>
      </c>
      <c r="AI42" s="1087"/>
      <c r="AJ42" s="1092"/>
      <c r="AK42" s="1092"/>
      <c r="AL42" s="1092"/>
      <c r="AM42" s="1092"/>
      <c r="AN42" s="1092"/>
    </row>
    <row r="43" spans="1:40" ht="14.1" customHeight="1" x14ac:dyDescent="0.3">
      <c r="A43" s="1280">
        <v>13</v>
      </c>
      <c r="B43" s="1155">
        <v>114</v>
      </c>
      <c r="C43" s="1278">
        <f t="shared" si="25"/>
        <v>7.2814721585426748E-2</v>
      </c>
      <c r="E43" s="1115"/>
      <c r="F43" s="1116"/>
      <c r="G43" s="1116"/>
      <c r="K43" s="1080"/>
      <c r="M43" s="1103">
        <f t="shared" si="16"/>
        <v>2880</v>
      </c>
      <c r="N43" s="1104">
        <f t="shared" si="17"/>
        <v>0.29145728643216079</v>
      </c>
      <c r="O43" s="1105">
        <f t="shared" si="18"/>
        <v>0.3260103880768222</v>
      </c>
      <c r="P43" s="1105">
        <f t="shared" si="19"/>
        <v>0.29884285573708708</v>
      </c>
      <c r="Q43" s="1114">
        <f t="shared" si="20"/>
        <v>0.27167532339735184</v>
      </c>
      <c r="R43" s="1105">
        <f t="shared" si="21"/>
        <v>0.24450779105761666</v>
      </c>
      <c r="S43" s="1105">
        <f t="shared" si="22"/>
        <v>0.21734025871788148</v>
      </c>
      <c r="T43" s="1107">
        <f t="shared" si="26"/>
        <v>0</v>
      </c>
      <c r="U43" s="355">
        <f t="shared" si="27"/>
        <v>0</v>
      </c>
      <c r="V43" s="1099">
        <f t="shared" si="28"/>
        <v>1</v>
      </c>
      <c r="W43" s="1279">
        <f t="shared" si="29"/>
        <v>7.2814721585426748E-2</v>
      </c>
      <c r="X43" s="1092">
        <f t="shared" si="23"/>
        <v>505.95807554605528</v>
      </c>
      <c r="Y43" s="1100">
        <f>10^((Y50+Y52*LN(X43)+Y57*LN(X43)^2+AA51*LN(X43)^3+ AA57*LN(X43)^4)/(1+Y51*LN(X43)+Y55*LN(X43)^2+AA50*LN(X43)^3+AA52*LN(X43)^4+AA55*LN(X43)^5))</f>
        <v>124.45164842758672</v>
      </c>
      <c r="Z43" s="1087"/>
      <c r="AA43" s="1100">
        <f t="shared" si="24"/>
        <v>114</v>
      </c>
      <c r="AB43" s="1092"/>
      <c r="AC43" s="1092">
        <f t="shared" si="30"/>
        <v>0.29145728643216079</v>
      </c>
      <c r="AD43" s="1087"/>
      <c r="AE43" s="1087">
        <v>13</v>
      </c>
      <c r="AF43" s="1087">
        <v>2880</v>
      </c>
      <c r="AG43" s="1100">
        <f t="shared" si="31"/>
        <v>124.45164842758672</v>
      </c>
      <c r="AH43" s="1092">
        <f>AK51*AF43+AH31</f>
        <v>505.95807554605528</v>
      </c>
      <c r="AI43" s="1087"/>
      <c r="AJ43" s="1092"/>
      <c r="AK43" s="1092"/>
      <c r="AL43" s="1092"/>
      <c r="AM43" s="1092"/>
      <c r="AN43" s="1092"/>
    </row>
    <row r="44" spans="1:40" ht="14.1" customHeight="1" x14ac:dyDescent="0.3">
      <c r="A44" s="1280">
        <v>14</v>
      </c>
      <c r="B44" s="1155">
        <v>151</v>
      </c>
      <c r="C44" s="1278">
        <f t="shared" si="25"/>
        <v>5.4012357668912887E-2</v>
      </c>
      <c r="K44" s="1080"/>
      <c r="M44" s="1103">
        <f t="shared" si="16"/>
        <v>3120</v>
      </c>
      <c r="N44" s="1104">
        <f t="shared" si="17"/>
        <v>0.27924528301886792</v>
      </c>
      <c r="O44" s="1105">
        <f t="shared" si="18"/>
        <v>0.31792259093028735</v>
      </c>
      <c r="P44" s="1105">
        <f t="shared" si="19"/>
        <v>0.29142904168609673</v>
      </c>
      <c r="Q44" s="1114">
        <f t="shared" si="20"/>
        <v>0.26493549244190612</v>
      </c>
      <c r="R44" s="1105">
        <f t="shared" si="21"/>
        <v>0.2384419431977155</v>
      </c>
      <c r="S44" s="1105">
        <f t="shared" si="22"/>
        <v>0.21194839395352491</v>
      </c>
      <c r="T44" s="1107">
        <f t="shared" si="26"/>
        <v>0</v>
      </c>
      <c r="U44" s="355">
        <f t="shared" si="27"/>
        <v>0</v>
      </c>
      <c r="V44" s="1099">
        <f t="shared" si="28"/>
        <v>1</v>
      </c>
      <c r="W44" s="1279">
        <f t="shared" si="29"/>
        <v>5.4012357668912887E-2</v>
      </c>
      <c r="X44" s="1092">
        <f t="shared" si="23"/>
        <v>542.81703905229233</v>
      </c>
      <c r="Y44" s="1100">
        <f>10^((Y50+Y52*LN(X44)+Y57*LN(X44)^2+AA51*LN(X44)^3+ AA57*LN(X44)^4)/(1+Y51*LN(X44)+Y55*LN(X44)^2+AA50*LN(X44)^3+AA52*LN(X44)^4+AA55*LN(X44)^5))</f>
        <v>162.45791115469825</v>
      </c>
      <c r="Z44" s="1087"/>
      <c r="AA44" s="1100">
        <f t="shared" si="24"/>
        <v>151</v>
      </c>
      <c r="AB44" s="1092"/>
      <c r="AC44" s="1092">
        <f t="shared" si="30"/>
        <v>0.27924528301886792</v>
      </c>
      <c r="AD44" s="1087"/>
      <c r="AE44" s="1087">
        <v>14</v>
      </c>
      <c r="AF44" s="1087">
        <v>3120</v>
      </c>
      <c r="AG44" s="1100">
        <f t="shared" si="31"/>
        <v>162.45791115469825</v>
      </c>
      <c r="AH44" s="1092">
        <f>AK51*AF44+AH31</f>
        <v>542.81703905229233</v>
      </c>
      <c r="AI44" s="1087"/>
      <c r="AJ44" s="1092"/>
      <c r="AK44" s="1092"/>
      <c r="AL44" s="1092"/>
      <c r="AM44" s="1092"/>
      <c r="AN44" s="1092"/>
    </row>
    <row r="45" spans="1:40" ht="14.1" customHeight="1" x14ac:dyDescent="0.3">
      <c r="A45" s="1280">
        <v>15</v>
      </c>
      <c r="B45" s="1155">
        <v>200</v>
      </c>
      <c r="C45" s="1278">
        <f t="shared" si="25"/>
        <v>7.6325686217018907E-2</v>
      </c>
      <c r="E45" s="1127"/>
      <c r="F45" s="1819" t="s">
        <v>1028</v>
      </c>
      <c r="G45" s="1826" t="s">
        <v>1029</v>
      </c>
      <c r="H45" s="1819" t="s">
        <v>1102</v>
      </c>
      <c r="I45" s="1820" t="s">
        <v>15</v>
      </c>
      <c r="J45" s="1820"/>
      <c r="K45" s="1080"/>
      <c r="M45" s="1103">
        <f t="shared" si="16"/>
        <v>3360</v>
      </c>
      <c r="N45" s="1104">
        <f t="shared" si="17"/>
        <v>0.27920227920227919</v>
      </c>
      <c r="O45" s="1105">
        <f t="shared" si="18"/>
        <v>0.31128378643486221</v>
      </c>
      <c r="P45" s="1105">
        <f t="shared" si="19"/>
        <v>0.28534347089862372</v>
      </c>
      <c r="Q45" s="1114">
        <f t="shared" si="20"/>
        <v>0.25940315536238517</v>
      </c>
      <c r="R45" s="1105">
        <f t="shared" si="21"/>
        <v>0.23346283982614666</v>
      </c>
      <c r="S45" s="1105">
        <f t="shared" si="22"/>
        <v>0.20752252428990814</v>
      </c>
      <c r="T45" s="1107">
        <f t="shared" si="26"/>
        <v>0</v>
      </c>
      <c r="U45" s="355">
        <f t="shared" si="27"/>
        <v>0</v>
      </c>
      <c r="V45" s="1099">
        <f t="shared" si="28"/>
        <v>1</v>
      </c>
      <c r="W45" s="1279">
        <f t="shared" si="29"/>
        <v>7.6325686217018907E-2</v>
      </c>
      <c r="X45" s="1092">
        <f t="shared" si="23"/>
        <v>579.67600255852915</v>
      </c>
      <c r="Y45" s="1100">
        <f>10^((Y50+Y52*LN(X45)+Y57*LN(X45)^2+AA51*LN(X45)^3+ AA57*LN(X45)^4)/(1+Y51*LN(X45)+Y55*LN(X45)^2+AA50*LN(X45)^3+AA52*LN(X45)^4+AA55*LN(X45)^5))</f>
        <v>210.88049091168335</v>
      </c>
      <c r="Z45" s="1087"/>
      <c r="AA45" s="1100">
        <f t="shared" si="24"/>
        <v>200</v>
      </c>
      <c r="AB45" s="1092"/>
      <c r="AC45" s="1092">
        <f t="shared" si="30"/>
        <v>0.27920227920227919</v>
      </c>
      <c r="AD45" s="1087"/>
      <c r="AE45" s="1087">
        <v>15</v>
      </c>
      <c r="AF45" s="1087">
        <v>3360</v>
      </c>
      <c r="AG45" s="1100">
        <f t="shared" si="31"/>
        <v>210.88049091168335</v>
      </c>
      <c r="AH45" s="1092">
        <f>AK51*AF45+AH31</f>
        <v>579.67600255852915</v>
      </c>
      <c r="AI45" s="1087"/>
      <c r="AJ45" s="1092"/>
      <c r="AK45" s="1092"/>
      <c r="AL45" s="1092"/>
      <c r="AM45" s="1092"/>
      <c r="AN45" s="1092"/>
    </row>
    <row r="46" spans="1:40" ht="14.1" customHeight="1" x14ac:dyDescent="0.3">
      <c r="A46" s="1280">
        <v>16</v>
      </c>
      <c r="B46" s="1155">
        <v>263</v>
      </c>
      <c r="C46" s="1278">
        <f t="shared" si="25"/>
        <v>6.7814755632556276E-2</v>
      </c>
      <c r="E46" s="1127"/>
      <c r="F46" s="1819"/>
      <c r="G46" s="1827"/>
      <c r="H46" s="1819"/>
      <c r="I46" s="1308" t="s">
        <v>16</v>
      </c>
      <c r="J46" s="1308" t="s">
        <v>17</v>
      </c>
      <c r="K46" s="1080"/>
      <c r="M46" s="1103">
        <f t="shared" si="16"/>
        <v>3600</v>
      </c>
      <c r="N46" s="1104">
        <f t="shared" si="17"/>
        <v>0.27213822894168466</v>
      </c>
      <c r="O46" s="1105">
        <f t="shared" si="18"/>
        <v>0.30582633645717811</v>
      </c>
      <c r="P46" s="1105">
        <f t="shared" si="19"/>
        <v>0.28034080841907999</v>
      </c>
      <c r="Q46" s="1114">
        <f t="shared" si="20"/>
        <v>0.25485528038098176</v>
      </c>
      <c r="R46" s="1105">
        <f t="shared" si="21"/>
        <v>0.22936975234288359</v>
      </c>
      <c r="S46" s="1105">
        <f t="shared" si="22"/>
        <v>0.20388422430478542</v>
      </c>
      <c r="T46" s="1107">
        <f t="shared" si="26"/>
        <v>0</v>
      </c>
      <c r="U46" s="355">
        <f t="shared" si="27"/>
        <v>0</v>
      </c>
      <c r="V46" s="1099">
        <f t="shared" si="28"/>
        <v>1</v>
      </c>
      <c r="W46" s="1279">
        <f t="shared" si="29"/>
        <v>6.7814755632556276E-2</v>
      </c>
      <c r="X46" s="1092">
        <f t="shared" si="23"/>
        <v>616.53496606476619</v>
      </c>
      <c r="Y46" s="1100">
        <f>10^((Y50+Y52*LN(X46)+Y57*LN(X46)^2+AA51*LN(X46)^3+ AA57*LN(X46)^4)/(1+Y51*LN(X46)+Y55*LN(X46)^2+AA50*LN(X46)^3+AA52*LN(X46)^4+AA55*LN(X46)^5))</f>
        <v>272.47309814245671</v>
      </c>
      <c r="Z46" s="1087"/>
      <c r="AA46" s="1100">
        <f t="shared" si="24"/>
        <v>263</v>
      </c>
      <c r="AB46" s="1092"/>
      <c r="AC46" s="1092">
        <f t="shared" si="30"/>
        <v>0.27213822894168466</v>
      </c>
      <c r="AD46" s="1087"/>
      <c r="AE46" s="1087">
        <v>16</v>
      </c>
      <c r="AF46" s="1087">
        <v>3600</v>
      </c>
      <c r="AG46" s="1100">
        <f t="shared" si="31"/>
        <v>272.47309814245671</v>
      </c>
      <c r="AH46" s="1092">
        <f>AK51*AF46+AH31</f>
        <v>616.53496606476619</v>
      </c>
      <c r="AI46" s="1087"/>
      <c r="AJ46" s="1092"/>
      <c r="AK46" s="1092"/>
      <c r="AL46" s="1092"/>
      <c r="AM46" s="1092"/>
      <c r="AN46" s="1092"/>
    </row>
    <row r="47" spans="1:40" ht="14.1" customHeight="1" x14ac:dyDescent="0.3">
      <c r="A47" s="1280">
        <v>17</v>
      </c>
      <c r="B47" s="1155">
        <v>344</v>
      </c>
      <c r="C47" s="1278">
        <f t="shared" si="25"/>
        <v>6.2787446897168642E-2</v>
      </c>
      <c r="E47" s="1127"/>
      <c r="F47" s="1108">
        <f>B48</f>
        <v>450</v>
      </c>
      <c r="G47" s="1108">
        <f>MIN(B31:B48)</f>
        <v>0.82</v>
      </c>
      <c r="H47" s="1109">
        <f>(B48+0.2)/(B31+0.2)</f>
        <v>441.37254901960785</v>
      </c>
      <c r="I47" s="1110" t="str">
        <f>IF($J$29=$Q$4, IF(AND($G47&gt;=1,$F47&gt;=420,$H47&gt;=350,$H47&lt;=450),"X",""),IF(AND($G47&gt;=1,$H47&gt;=250,$F47&gt;=250),"X",""))</f>
        <v/>
      </c>
      <c r="J47" s="1110" t="str">
        <f>IF($J$29=$Q$4, IF(AND($G47&gt;=1,$F47&gt;=420,$H47&gt;=350,$H47&lt;=450),"","X"),IF(AND($G47&gt;=1,$H47&gt;=250,$F47&gt;=250),"","X"))</f>
        <v>X</v>
      </c>
      <c r="K47" s="1078"/>
      <c r="M47" s="1103">
        <f t="shared" si="16"/>
        <v>3840</v>
      </c>
      <c r="N47" s="1104">
        <f t="shared" si="17"/>
        <v>0.26688632619439867</v>
      </c>
      <c r="O47" s="1105">
        <f t="shared" si="18"/>
        <v>0.30134303182475008</v>
      </c>
      <c r="P47" s="1105">
        <f t="shared" si="19"/>
        <v>0.27623111250602095</v>
      </c>
      <c r="Q47" s="1114">
        <f t="shared" si="20"/>
        <v>0.25111919318729176</v>
      </c>
      <c r="R47" s="1105">
        <f t="shared" si="21"/>
        <v>0.22600727386856259</v>
      </c>
      <c r="S47" s="1105">
        <f t="shared" si="22"/>
        <v>0.20089535454983343</v>
      </c>
      <c r="T47" s="1107">
        <f t="shared" si="26"/>
        <v>0</v>
      </c>
      <c r="U47" s="355">
        <f t="shared" si="27"/>
        <v>0</v>
      </c>
      <c r="V47" s="1099">
        <f t="shared" si="28"/>
        <v>1</v>
      </c>
      <c r="W47" s="1279">
        <f t="shared" si="29"/>
        <v>6.2787446897168642E-2</v>
      </c>
      <c r="X47" s="1092">
        <f t="shared" si="23"/>
        <v>653.39392957100313</v>
      </c>
      <c r="Y47" s="1100">
        <f>10^((Y50+Y52*LN(X47)+Y57*LN(X47)^2+AA51*LN(X47)^3+ AA57*LN(X47)^4)/(1+Y51*LN(X47)+Y55*LN(X47)^2+AA50*LN(X47)^3+AA52*LN(X47)^4+AA55*LN(X47)^5))</f>
        <v>350.7211117340463</v>
      </c>
      <c r="Z47" s="1087"/>
      <c r="AA47" s="1100">
        <f t="shared" si="24"/>
        <v>344</v>
      </c>
      <c r="AB47" s="1092"/>
      <c r="AC47" s="1092">
        <f t="shared" si="30"/>
        <v>0.26688632619439867</v>
      </c>
      <c r="AD47" s="1087"/>
      <c r="AE47" s="1087">
        <v>17</v>
      </c>
      <c r="AF47" s="1087">
        <v>3840</v>
      </c>
      <c r="AG47" s="1100">
        <f t="shared" si="31"/>
        <v>350.7211117340463</v>
      </c>
      <c r="AH47" s="1092">
        <f>AK51*AF47+AH31</f>
        <v>653.39392957100313</v>
      </c>
      <c r="AI47" s="1087"/>
      <c r="AJ47" s="1092"/>
      <c r="AK47" s="1092"/>
      <c r="AL47" s="1092"/>
      <c r="AM47" s="1092"/>
      <c r="AN47" s="1092"/>
    </row>
    <row r="48" spans="1:40" ht="14.1" customHeight="1" thickBot="1" x14ac:dyDescent="0.35">
      <c r="A48" s="1280">
        <v>18</v>
      </c>
      <c r="B48" s="1155">
        <v>450</v>
      </c>
      <c r="C48" s="1278">
        <f t="shared" si="25"/>
        <v>7.6737247449922663E-2</v>
      </c>
      <c r="E48" s="1127"/>
      <c r="F48" s="1829" t="s">
        <v>837</v>
      </c>
      <c r="G48" s="1829"/>
      <c r="H48" s="1829"/>
      <c r="I48" s="1110" t="str">
        <f>IF($J$29=+$Q$4,IF($T49=0,"X",""),IF($U49=0,"X",""))</f>
        <v/>
      </c>
      <c r="J48" s="1110" t="str">
        <f>IF($J$29=+$Q$4,IF($T49=0,"","X"),IF($U49=0,"","X"))</f>
        <v>X</v>
      </c>
      <c r="K48" s="1078"/>
      <c r="M48" s="1103">
        <f t="shared" si="16"/>
        <v>4080</v>
      </c>
      <c r="N48" s="1104">
        <f t="shared" si="17"/>
        <v>0.26700251889168763</v>
      </c>
      <c r="O48" s="1105">
        <f t="shared" si="18"/>
        <v>0.29756843968094138</v>
      </c>
      <c r="P48" s="1105">
        <f t="shared" si="19"/>
        <v>0.27277106970752962</v>
      </c>
      <c r="Q48" s="1114">
        <f t="shared" si="20"/>
        <v>0.24797369973411781</v>
      </c>
      <c r="R48" s="1105">
        <f t="shared" si="21"/>
        <v>0.22317632976070603</v>
      </c>
      <c r="S48" s="1105">
        <f t="shared" si="22"/>
        <v>0.19837895978729425</v>
      </c>
      <c r="T48" s="1107">
        <f t="shared" si="26"/>
        <v>0</v>
      </c>
      <c r="U48" s="355">
        <f t="shared" si="27"/>
        <v>0</v>
      </c>
      <c r="V48" s="1099">
        <f t="shared" si="28"/>
        <v>1</v>
      </c>
      <c r="W48" s="1279">
        <f t="shared" si="29"/>
        <v>7.6737247449922663E-2</v>
      </c>
      <c r="X48" s="1092">
        <f t="shared" si="23"/>
        <v>690.25289307724006</v>
      </c>
      <c r="Y48" s="1100">
        <f>10^((Y50+Y52*LN(X48)+Y57*LN(X48)^2+AA51*LN(X48)^3+ AA57*LN(X48)^4)/(1+Y51*LN(X48)+Y55*LN(X48)^2+AA50*LN(X48)^3+AA52*LN(X48)^4+AA55*LN(X48)^5))</f>
        <v>450.03908379088074</v>
      </c>
      <c r="Z48" s="1087"/>
      <c r="AA48" s="1100">
        <f t="shared" si="24"/>
        <v>450</v>
      </c>
      <c r="AB48" s="1092">
        <f>AD50+AD51*LOG10(AA48)+AD52*LOG10(AA48)^2+AD55*LOG10(AA48)^3+AF50*LOG10(AA48)^4+AF51*LOG(AA48)^5+AF52*LOG10(AA48)^6+AF55*LOG10(AA48)^7+AF57*LOG10(AA48)^8</f>
        <v>690.25289307724006</v>
      </c>
      <c r="AC48" s="1092">
        <f t="shared" si="30"/>
        <v>0.26700251889168763</v>
      </c>
      <c r="AD48" s="1087"/>
      <c r="AE48" s="1087">
        <v>18</v>
      </c>
      <c r="AF48" s="1087">
        <v>4080</v>
      </c>
      <c r="AG48" s="1100">
        <f>AA48</f>
        <v>450</v>
      </c>
      <c r="AH48" s="1101">
        <f>AB48</f>
        <v>690.25289307724006</v>
      </c>
      <c r="AI48" s="1087"/>
      <c r="AJ48" s="1092"/>
      <c r="AK48" s="1092"/>
      <c r="AL48" s="1092"/>
      <c r="AM48" s="1092"/>
      <c r="AN48" s="1092"/>
    </row>
    <row r="49" spans="1:40" ht="14.1" customHeight="1" x14ac:dyDescent="0.3">
      <c r="A49" s="1117" t="s">
        <v>834</v>
      </c>
      <c r="B49" s="1077"/>
      <c r="C49" s="1077"/>
      <c r="D49" s="1077"/>
      <c r="E49" s="1127"/>
      <c r="F49" s="1127"/>
      <c r="G49" s="1127"/>
      <c r="H49" s="1127"/>
      <c r="I49" s="1127"/>
      <c r="J49" s="1127"/>
      <c r="K49" s="1080"/>
      <c r="M49" s="357"/>
      <c r="N49" s="358"/>
      <c r="O49" s="358"/>
      <c r="P49" s="358"/>
      <c r="Q49" s="1079"/>
      <c r="R49" s="358"/>
      <c r="S49" s="358"/>
      <c r="T49" s="1111">
        <f>SUM(T32:T48)</f>
        <v>4</v>
      </c>
      <c r="U49" s="1112">
        <f>SUM(U32:U48)</f>
        <v>2</v>
      </c>
      <c r="X49" s="1087"/>
      <c r="Y49" s="1100"/>
      <c r="Z49" s="1087"/>
      <c r="AA49" s="1087"/>
      <c r="AB49" s="1092"/>
      <c r="AC49" s="1092"/>
      <c r="AD49" s="1087"/>
      <c r="AE49" s="1087"/>
      <c r="AF49" s="1087"/>
      <c r="AG49" s="1100"/>
      <c r="AH49" s="1101"/>
      <c r="AI49" s="1092"/>
      <c r="AJ49" s="1092"/>
      <c r="AK49" s="1092"/>
      <c r="AL49" s="1087"/>
      <c r="AM49" s="1087"/>
      <c r="AN49" s="1087"/>
    </row>
    <row r="50" spans="1:40" ht="14.1" customHeight="1" x14ac:dyDescent="0.3">
      <c r="A50" s="1117" t="s">
        <v>1103</v>
      </c>
      <c r="B50" s="1181"/>
      <c r="C50" s="1181"/>
      <c r="D50" s="1081"/>
      <c r="E50" s="1305" t="s">
        <v>290</v>
      </c>
      <c r="F50" s="1307" t="s">
        <v>1028</v>
      </c>
      <c r="G50" s="1118">
        <f>MAX(B9:B26)</f>
        <v>500</v>
      </c>
      <c r="H50" s="1828">
        <f>ABS((G50-G51)/G50)</f>
        <v>0.1</v>
      </c>
      <c r="I50" s="1819" t="s">
        <v>15</v>
      </c>
      <c r="J50" s="1819"/>
      <c r="K50" s="1080"/>
      <c r="L50" s="1178" t="s">
        <v>545</v>
      </c>
      <c r="X50" s="1087" t="s">
        <v>351</v>
      </c>
      <c r="Y50" s="1088">
        <v>-1.3011877000000001</v>
      </c>
      <c r="Z50" s="1087" t="s">
        <v>361</v>
      </c>
      <c r="AA50" s="1088">
        <v>2.874562E-2</v>
      </c>
      <c r="AC50" s="1087" t="s">
        <v>352</v>
      </c>
      <c r="AD50" s="1089">
        <v>71.498068000000004</v>
      </c>
      <c r="AE50" s="1087" t="s">
        <v>360</v>
      </c>
      <c r="AF50" s="1087">
        <v>0.28175407000000002</v>
      </c>
      <c r="AH50" s="1087" t="s">
        <v>385</v>
      </c>
      <c r="AI50" s="1087"/>
      <c r="AJ50" s="1087"/>
      <c r="AK50" s="1087"/>
      <c r="AL50" s="1087"/>
      <c r="AM50" s="1087"/>
      <c r="AN50" s="1087"/>
    </row>
    <row r="51" spans="1:40" ht="14.1" customHeight="1" x14ac:dyDescent="0.3">
      <c r="A51" s="1117" t="s">
        <v>1104</v>
      </c>
      <c r="B51" s="1181"/>
      <c r="C51" s="1181"/>
      <c r="D51" s="1181"/>
      <c r="E51" s="1305" t="s">
        <v>291</v>
      </c>
      <c r="F51" s="1307" t="s">
        <v>1028</v>
      </c>
      <c r="G51" s="1119">
        <f>MAX(B31:B48)</f>
        <v>450</v>
      </c>
      <c r="H51" s="1828"/>
      <c r="I51" s="1308" t="s">
        <v>16</v>
      </c>
      <c r="J51" s="1308" t="s">
        <v>17</v>
      </c>
      <c r="K51" s="1080"/>
      <c r="L51" s="1178" t="s">
        <v>546</v>
      </c>
      <c r="X51" s="1087" t="s">
        <v>353</v>
      </c>
      <c r="Y51" s="1088">
        <v>-2.5840190999999998E-2</v>
      </c>
      <c r="Z51" s="1087" t="s">
        <v>363</v>
      </c>
      <c r="AA51" s="1088">
        <v>-2.5468404E-2</v>
      </c>
      <c r="AC51" s="1087" t="s">
        <v>354</v>
      </c>
      <c r="AD51" s="1087">
        <v>94.593052999999998</v>
      </c>
      <c r="AE51" s="1087" t="s">
        <v>362</v>
      </c>
      <c r="AF51" s="1087">
        <v>-1.1878455000000001</v>
      </c>
      <c r="AH51" s="1087"/>
      <c r="AI51" s="1087"/>
      <c r="AJ51" s="1090" t="s">
        <v>386</v>
      </c>
      <c r="AK51" s="1087">
        <f>(AH48-AH31)/AF48</f>
        <v>0.15357901460932064</v>
      </c>
      <c r="AL51" s="1087"/>
      <c r="AM51" s="1087"/>
      <c r="AN51" s="1087"/>
    </row>
    <row r="52" spans="1:40" ht="14.1" customHeight="1" x14ac:dyDescent="0.3">
      <c r="A52" s="1117" t="s">
        <v>1030</v>
      </c>
      <c r="B52" s="1077"/>
      <c r="C52" s="1077"/>
      <c r="D52" s="1077"/>
      <c r="E52" s="1825" t="s">
        <v>832</v>
      </c>
      <c r="F52" s="1825"/>
      <c r="G52" s="1825"/>
      <c r="H52" s="1825"/>
      <c r="I52" s="1110" t="str">
        <f>IF(H50&lt;=0.1,"X","")</f>
        <v>X</v>
      </c>
      <c r="J52" s="1110" t="str">
        <f>IF(H50&gt;0.1,"X","")</f>
        <v/>
      </c>
      <c r="K52" s="1078"/>
      <c r="X52" s="1087" t="s">
        <v>355</v>
      </c>
      <c r="Y52" s="1088">
        <v>8.0242636000000006E-2</v>
      </c>
      <c r="Z52" s="1087" t="s">
        <v>365</v>
      </c>
      <c r="AA52" s="1088">
        <v>-3.1978977000000001E-3</v>
      </c>
      <c r="AC52" s="1087" t="s">
        <v>356</v>
      </c>
      <c r="AD52" s="1087">
        <v>41.912053</v>
      </c>
      <c r="AE52" s="1087" t="s">
        <v>364</v>
      </c>
      <c r="AF52" s="1087">
        <v>-0.18014348999999999</v>
      </c>
      <c r="AH52" s="1087"/>
      <c r="AI52" s="1087"/>
      <c r="AJ52" s="1090" t="s">
        <v>387</v>
      </c>
      <c r="AK52" s="1092">
        <f>AH31</f>
        <v>63.650513471211895</v>
      </c>
      <c r="AL52" s="1087"/>
      <c r="AM52" s="1087"/>
      <c r="AN52" s="1087"/>
    </row>
    <row r="53" spans="1:40" ht="14.1" customHeight="1" x14ac:dyDescent="0.3">
      <c r="A53" s="1117" t="s">
        <v>1031</v>
      </c>
      <c r="B53" s="1077"/>
      <c r="C53" s="1077"/>
      <c r="D53" s="1077"/>
      <c r="E53" s="1160"/>
      <c r="F53" s="1160"/>
      <c r="G53" s="1160"/>
      <c r="H53" s="1160"/>
      <c r="I53" s="1161"/>
      <c r="J53" s="1161"/>
      <c r="K53" s="1078"/>
      <c r="X53" s="1087"/>
      <c r="Y53" s="1088"/>
      <c r="Z53" s="1087"/>
      <c r="AA53" s="1088"/>
      <c r="AC53" s="1087"/>
      <c r="AD53" s="1087"/>
      <c r="AE53" s="1087"/>
      <c r="AF53" s="1087"/>
      <c r="AH53" s="1087"/>
      <c r="AI53" s="1087"/>
      <c r="AJ53" s="1090"/>
      <c r="AK53" s="1092"/>
      <c r="AL53" s="1087"/>
      <c r="AM53" s="1087"/>
      <c r="AN53" s="1087"/>
    </row>
    <row r="54" spans="1:40" ht="14.1" customHeight="1" x14ac:dyDescent="0.3">
      <c r="A54" s="1117" t="s">
        <v>1089</v>
      </c>
      <c r="B54" s="1077"/>
      <c r="C54" s="1077"/>
      <c r="D54" s="1077"/>
      <c r="E54" s="1160"/>
      <c r="F54" s="1160"/>
      <c r="G54" s="1160"/>
      <c r="H54" s="1160"/>
      <c r="I54" s="1161"/>
      <c r="J54" s="1161"/>
      <c r="K54" s="1078"/>
      <c r="X54" s="1087"/>
      <c r="Y54" s="1088"/>
      <c r="Z54" s="1087"/>
      <c r="AA54" s="1088"/>
      <c r="AC54" s="1087"/>
      <c r="AD54" s="1087"/>
      <c r="AE54" s="1087"/>
      <c r="AF54" s="1087"/>
      <c r="AH54" s="1087"/>
      <c r="AI54" s="1087"/>
      <c r="AJ54" s="1090"/>
      <c r="AK54" s="1092"/>
      <c r="AL54" s="1087"/>
      <c r="AM54" s="1087"/>
      <c r="AN54" s="1087"/>
    </row>
    <row r="55" spans="1:40" ht="14.1" customHeight="1" x14ac:dyDescent="0.3">
      <c r="K55" s="1080"/>
      <c r="X55" s="1087" t="s">
        <v>357</v>
      </c>
      <c r="Y55" s="1088">
        <v>-0.10320229</v>
      </c>
      <c r="Z55" s="1087" t="s">
        <v>367</v>
      </c>
      <c r="AA55" s="1088">
        <v>1.2992634000000001E-4</v>
      </c>
      <c r="AC55" s="1087" t="s">
        <v>358</v>
      </c>
      <c r="AD55" s="1087">
        <v>9.8247003999999993</v>
      </c>
      <c r="AE55" s="1087" t="s">
        <v>366</v>
      </c>
      <c r="AF55" s="1087">
        <v>0.14710899</v>
      </c>
      <c r="AI55" s="1087"/>
      <c r="AJ55" s="1087"/>
      <c r="AK55" s="1087"/>
      <c r="AL55" s="1087"/>
      <c r="AM55" s="1087"/>
      <c r="AN55" s="1087"/>
    </row>
    <row r="56" spans="1:40" ht="14.1" customHeight="1" x14ac:dyDescent="0.3">
      <c r="A56" s="698" t="s">
        <v>778</v>
      </c>
      <c r="B56" s="698"/>
      <c r="C56" s="1159"/>
      <c r="D56" s="698"/>
      <c r="E56" s="1584"/>
      <c r="F56" s="1584"/>
      <c r="G56" s="1584"/>
      <c r="H56" s="1584"/>
      <c r="I56" s="1584"/>
      <c r="J56" s="1584"/>
      <c r="K56" s="1120"/>
      <c r="X56" s="1087"/>
      <c r="Y56" s="1088"/>
      <c r="Z56" s="1087"/>
      <c r="AA56" s="1088"/>
      <c r="AC56" s="1087"/>
      <c r="AD56" s="1087"/>
      <c r="AE56" s="1087"/>
      <c r="AF56" s="1087"/>
      <c r="AI56" s="1087"/>
      <c r="AJ56" s="1087"/>
      <c r="AK56" s="1087"/>
      <c r="AL56" s="1087"/>
      <c r="AM56" s="1087"/>
      <c r="AN56" s="1087"/>
    </row>
    <row r="57" spans="1:40" ht="14.1" customHeight="1" x14ac:dyDescent="0.3">
      <c r="A57" s="1490"/>
      <c r="B57" s="1490"/>
      <c r="C57" s="1490"/>
      <c r="D57" s="1490"/>
      <c r="E57" s="1490"/>
      <c r="F57" s="1490"/>
      <c r="G57" s="1490"/>
      <c r="H57" s="1490"/>
      <c r="I57" s="1490"/>
      <c r="J57" s="1490"/>
      <c r="K57" s="1123" t="s">
        <v>490</v>
      </c>
      <c r="L57" s="1309"/>
      <c r="X57" s="1087" t="s">
        <v>359</v>
      </c>
      <c r="Y57" s="1088">
        <v>0.13646699000000001</v>
      </c>
      <c r="Z57" s="1087" t="s">
        <v>369</v>
      </c>
      <c r="AA57" s="1088">
        <v>1.3635334E-3</v>
      </c>
      <c r="AE57" s="1087" t="s">
        <v>368</v>
      </c>
      <c r="AF57" s="1087">
        <v>-1.7046845000000001E-2</v>
      </c>
      <c r="AI57" s="1087"/>
      <c r="AJ57" s="1087"/>
      <c r="AK57" s="1087"/>
      <c r="AL57" s="1095"/>
      <c r="AM57" s="1095"/>
      <c r="AN57" s="1095"/>
    </row>
    <row r="58" spans="1:40" ht="14.1" customHeight="1" x14ac:dyDescent="0.3">
      <c r="A58" s="1490"/>
      <c r="B58" s="1490"/>
      <c r="C58" s="1490"/>
      <c r="D58" s="1490"/>
      <c r="E58" s="1490"/>
      <c r="F58" s="1490"/>
      <c r="G58" s="1490"/>
      <c r="H58" s="1490"/>
      <c r="I58" s="1490"/>
      <c r="J58" s="1490"/>
      <c r="K58" s="1083">
        <f>IF(J29="",COUNTIF(J25:J26,"X"),+COUNTIF(J52,"X")+COUNTIF(J47:J48,"X")+COUNTIF(J25:J26,"X"))</f>
        <v>3</v>
      </c>
      <c r="L58" s="1082"/>
      <c r="X58" s="1087"/>
      <c r="Y58" s="1088"/>
      <c r="Z58" s="1087"/>
      <c r="AA58" s="1088"/>
      <c r="AE58" s="1087"/>
      <c r="AF58" s="1087"/>
      <c r="AI58" s="1087"/>
      <c r="AJ58" s="1087"/>
      <c r="AK58" s="1087"/>
      <c r="AL58" s="1095"/>
      <c r="AM58" s="1095"/>
      <c r="AN58" s="1095"/>
    </row>
    <row r="59" spans="1:40" ht="14.1" customHeight="1" x14ac:dyDescent="0.3">
      <c r="F59" s="1073"/>
      <c r="L59" s="1082"/>
    </row>
  </sheetData>
  <sheetProtection algorithmName="SHA-512" hashValue="wiYwMWG6GZwA1PylfemCEexbOXmIuVW8yMxnoDThAmNMxPTRByGJhMvHPdZ+8VIKqIxJbFVHu111pWPbTz0qtQ==" saltValue="BhZupPJTigNg8yLk652CMA==" spinCount="100000" sheet="1" objects="1" scenarios="1"/>
  <mergeCells count="22">
    <mergeCell ref="H4:J4"/>
    <mergeCell ref="H5:J5"/>
    <mergeCell ref="A7:B7"/>
    <mergeCell ref="D7:G7"/>
    <mergeCell ref="F23:F24"/>
    <mergeCell ref="G23:G24"/>
    <mergeCell ref="H23:H24"/>
    <mergeCell ref="I23:J23"/>
    <mergeCell ref="F26:H26"/>
    <mergeCell ref="A29:B29"/>
    <mergeCell ref="D29:G29"/>
    <mergeCell ref="F45:F46"/>
    <mergeCell ref="G45:G46"/>
    <mergeCell ref="H45:H46"/>
    <mergeCell ref="A57:J57"/>
    <mergeCell ref="A58:J58"/>
    <mergeCell ref="I45:J45"/>
    <mergeCell ref="F48:H48"/>
    <mergeCell ref="H50:H51"/>
    <mergeCell ref="I50:J50"/>
    <mergeCell ref="E52:H52"/>
    <mergeCell ref="E56:J56"/>
  </mergeCells>
  <conditionalFormatting sqref="G47">
    <cfRule type="cellIs" dxfId="55" priority="23" operator="lessThan">
      <formula>1</formula>
    </cfRule>
    <cfRule type="cellIs" dxfId="54" priority="24" operator="lessThan">
      <formula>0.9</formula>
    </cfRule>
    <cfRule type="cellIs" dxfId="53" priority="26" operator="lessThan">
      <formula>1</formula>
    </cfRule>
  </conditionalFormatting>
  <conditionalFormatting sqref="G47">
    <cfRule type="cellIs" dxfId="52" priority="25" operator="lessThan">
      <formula>1</formula>
    </cfRule>
  </conditionalFormatting>
  <conditionalFormatting sqref="H50">
    <cfRule type="cellIs" dxfId="51" priority="21" operator="greaterThan">
      <formula>0.1</formula>
    </cfRule>
    <cfRule type="cellIs" dxfId="50" priority="22" operator="greaterThan">
      <formula>0.1</formula>
    </cfRule>
  </conditionalFormatting>
  <conditionalFormatting sqref="B31:B48">
    <cfRule type="expression" dxfId="49" priority="20" stopIfTrue="1">
      <formula>$J$29=""</formula>
    </cfRule>
  </conditionalFormatting>
  <conditionalFormatting sqref="C9:C26">
    <cfRule type="cellIs" dxfId="48" priority="17" operator="notBetween">
      <formula>-0.2</formula>
      <formula>0.2</formula>
    </cfRule>
    <cfRule type="expression" priority="18" stopIfTrue="1">
      <formula>$J$7=$Q$5</formula>
    </cfRule>
    <cfRule type="cellIs" dxfId="47" priority="19" operator="notBetween">
      <formula>-0.1</formula>
      <formula>0.1</formula>
    </cfRule>
  </conditionalFormatting>
  <conditionalFormatting sqref="C31:C48">
    <cfRule type="cellIs" dxfId="46" priority="14" operator="notBetween">
      <formula>-0.2</formula>
      <formula>0.2</formula>
    </cfRule>
    <cfRule type="expression" priority="15" stopIfTrue="1">
      <formula>$J$29=$Q$5</formula>
    </cfRule>
    <cfRule type="cellIs" dxfId="45" priority="16" operator="notBetween">
      <formula>-0.1</formula>
      <formula>0.1</formula>
    </cfRule>
  </conditionalFormatting>
  <conditionalFormatting sqref="H25">
    <cfRule type="cellIs" dxfId="44" priority="4" operator="lessThan">
      <formula>250</formula>
    </cfRule>
    <cfRule type="expression" priority="12" stopIfTrue="1">
      <formula>$J$7=$Q$5</formula>
    </cfRule>
    <cfRule type="cellIs" dxfId="43" priority="13" stopIfTrue="1" operator="notBetween">
      <formula>350</formula>
      <formula>450</formula>
    </cfRule>
  </conditionalFormatting>
  <conditionalFormatting sqref="H47">
    <cfRule type="cellIs" dxfId="42" priority="1" operator="lessThan">
      <formula>250</formula>
    </cfRule>
    <cfRule type="expression" priority="10">
      <formula>$J$29=$Q$5</formula>
    </cfRule>
    <cfRule type="cellIs" dxfId="41" priority="11" stopIfTrue="1" operator="notBetween">
      <formula>350</formula>
      <formula>450</formula>
    </cfRule>
  </conditionalFormatting>
  <conditionalFormatting sqref="F47">
    <cfRule type="cellIs" dxfId="40" priority="2" operator="lessThan">
      <formula>250</formula>
    </cfRule>
    <cfRule type="expression" priority="8" stopIfTrue="1">
      <formula>$J$29=$Q$5</formula>
    </cfRule>
    <cfRule type="cellIs" dxfId="39" priority="9" operator="lessThan">
      <formula>420</formula>
    </cfRule>
  </conditionalFormatting>
  <conditionalFormatting sqref="F25">
    <cfRule type="cellIs" dxfId="38" priority="3" operator="lessThan">
      <formula>250</formula>
    </cfRule>
    <cfRule type="expression" priority="6" stopIfTrue="1">
      <formula>$J$7=$Q$5</formula>
    </cfRule>
    <cfRule type="cellIs" dxfId="37" priority="7" operator="lessThan">
      <formula>420</formula>
    </cfRule>
  </conditionalFormatting>
  <conditionalFormatting sqref="G25">
    <cfRule type="cellIs" dxfId="36" priority="5" operator="lessThan">
      <formula>1</formula>
    </cfRule>
  </conditionalFormatting>
  <dataValidations count="3">
    <dataValidation type="list" allowBlank="1" showInputMessage="1" showErrorMessage="1" sqref="H4:J4" xr:uid="{C9DC8CF8-ABA3-43D0-BB87-4420B544E513}">
      <formula1>$L$2:$L$18</formula1>
    </dataValidation>
    <dataValidation type="list" allowBlank="1" showInputMessage="1" showErrorMessage="1" sqref="J7 J29" xr:uid="{BBA1B9B3-D26D-4198-B9B3-DD26DE207AEC}">
      <formula1>$Q$4:$Q$6</formula1>
    </dataValidation>
    <dataValidation type="list" allowBlank="1" showInputMessage="1" showErrorMessage="1" sqref="H7 H29" xr:uid="{7D27F2C8-9F3F-4858-ADF5-5C14BD0F1178}">
      <formula1>$P$4:$P$8</formula1>
    </dataValidation>
  </dataValidations>
  <printOptions horizontalCentered="1"/>
  <pageMargins left="0.70866141732283472" right="0.70866141732283472" top="0.74803149606299213" bottom="0.74803149606299213" header="0.31496062992125984" footer="0.31496062992125984"/>
  <pageSetup paperSize="120" scale="88" orientation="portrait" r:id="rId1"/>
  <headerFooter>
    <oddFooter>&amp;CPage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2CA972-FFD0-4CB5-8B43-2D0D51C76436}">
          <x14:formula1>
            <xm:f>'2.14 abMON'!$K$21:$K$28</xm:f>
          </x14:formula1>
          <xm:sqref>I29 I7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EE6D1-32D0-4ED7-B91B-336841F2BFF7}">
  <sheetPr>
    <tabColor theme="5" tint="-0.249977111117893"/>
    <pageSetUpPr fitToPage="1"/>
  </sheetPr>
  <dimension ref="A1:O67"/>
  <sheetViews>
    <sheetView topLeftCell="A31" zoomScaleNormal="100" zoomScalePageLayoutView="85" workbookViewId="0">
      <selection activeCell="M53" sqref="M53"/>
    </sheetView>
  </sheetViews>
  <sheetFormatPr baseColWidth="10" defaultColWidth="9.33203125" defaultRowHeight="15.6" x14ac:dyDescent="0.3"/>
  <cols>
    <col min="1" max="1" width="10.5546875" style="1133" customWidth="1"/>
    <col min="2" max="2" width="10.6640625" style="1133" customWidth="1"/>
    <col min="3" max="3" width="22.33203125" style="1133" customWidth="1"/>
    <col min="4" max="4" width="36.33203125" style="1133" customWidth="1"/>
    <col min="5" max="8" width="10.6640625" style="1133" customWidth="1"/>
    <col min="9" max="9" width="5.6640625" style="1133" customWidth="1"/>
    <col min="10" max="10" width="6.5546875" style="1133" customWidth="1"/>
    <col min="11" max="11" width="22.44140625" style="1133" customWidth="1"/>
    <col min="12" max="13" width="9.33203125" style="1133"/>
    <col min="14" max="14" width="21.6640625" style="1133" customWidth="1"/>
    <col min="15" max="16384" width="9.33203125" style="1133"/>
  </cols>
  <sheetData>
    <row r="1" spans="1:15" ht="17.7" customHeight="1" x14ac:dyDescent="0.3">
      <c r="A1" s="761" t="s">
        <v>753</v>
      </c>
      <c r="B1" s="762"/>
      <c r="C1" s="54" t="str">
        <f>Info!C10</f>
        <v>Clinique Ste-Mammo</v>
      </c>
      <c r="D1" s="55"/>
      <c r="E1" s="56" t="s">
        <v>755</v>
      </c>
      <c r="F1" s="55"/>
      <c r="G1" s="55"/>
      <c r="H1" s="203" t="str">
        <f>+Info!C37</f>
        <v>20-01-2020</v>
      </c>
      <c r="I1" s="1132"/>
      <c r="K1" s="1075" t="s">
        <v>448</v>
      </c>
    </row>
    <row r="2" spans="1:15" x14ac:dyDescent="0.3">
      <c r="A2" s="58" t="s">
        <v>754</v>
      </c>
      <c r="B2" s="763"/>
      <c r="C2" s="59" t="str">
        <f>Info!C21</f>
        <v>Salle 2, Hirad IV</v>
      </c>
      <c r="D2" s="51"/>
      <c r="E2" s="60" t="s">
        <v>756</v>
      </c>
      <c r="F2" s="51"/>
      <c r="G2" s="51"/>
      <c r="H2" s="61" t="str">
        <f>+Info!C35</f>
        <v>Alexandre Toussaint</v>
      </c>
      <c r="I2" s="1132"/>
      <c r="J2" s="1134"/>
      <c r="K2" s="350" t="str">
        <f>Éqpmt!B35</f>
        <v>bureau Dr Xxx (console #3)</v>
      </c>
    </row>
    <row r="3" spans="1:15" ht="11.7" customHeight="1" x14ac:dyDescent="0.3">
      <c r="A3" s="1135"/>
      <c r="B3" s="1135"/>
      <c r="C3" s="1135"/>
      <c r="D3" s="1135"/>
      <c r="E3" s="1135"/>
      <c r="F3" s="1135"/>
      <c r="G3" s="1135"/>
      <c r="H3" s="1135"/>
      <c r="I3" s="1132"/>
      <c r="J3" s="1134"/>
      <c r="K3" s="1091" t="str">
        <f>Éqpmt!E35</f>
        <v>bureau Dr Xxx (console #3)</v>
      </c>
    </row>
    <row r="4" spans="1:15" ht="18.600000000000001" customHeight="1" x14ac:dyDescent="0.3">
      <c r="A4" s="1136" t="s">
        <v>829</v>
      </c>
      <c r="B4" s="1137"/>
      <c r="C4" s="1137"/>
      <c r="D4" s="1137"/>
      <c r="E4" s="1137"/>
      <c r="F4" s="1135"/>
      <c r="G4" s="1135"/>
      <c r="H4" s="1135"/>
      <c r="I4" s="1132"/>
      <c r="J4" s="1134"/>
      <c r="K4" s="1091" t="str">
        <f>Éqpmt!B42</f>
        <v>salle 5043</v>
      </c>
      <c r="N4" s="1131" t="s">
        <v>403</v>
      </c>
      <c r="O4" s="1079"/>
    </row>
    <row r="5" spans="1:15" ht="14.1" customHeight="1" x14ac:dyDescent="0.3">
      <c r="A5" s="1137"/>
      <c r="B5" s="1137"/>
      <c r="C5" s="1137"/>
      <c r="D5" s="1138" t="s">
        <v>404</v>
      </c>
      <c r="E5" s="1793" t="s">
        <v>772</v>
      </c>
      <c r="F5" s="1794"/>
      <c r="G5" s="1794"/>
      <c r="H5" s="1795"/>
      <c r="I5" s="1132"/>
      <c r="J5" s="1134"/>
      <c r="K5" s="1091" t="str">
        <f>Éqpmt!E42</f>
        <v>salle 5043</v>
      </c>
      <c r="N5" s="1131" t="s">
        <v>446</v>
      </c>
      <c r="O5" s="1131" t="s">
        <v>271</v>
      </c>
    </row>
    <row r="6" spans="1:15" ht="14.1" customHeight="1" x14ac:dyDescent="0.3">
      <c r="B6" s="1135"/>
      <c r="C6" s="1135"/>
      <c r="D6" s="1274" t="s">
        <v>412</v>
      </c>
      <c r="E6" s="1800" t="s">
        <v>445</v>
      </c>
      <c r="F6" s="1801"/>
      <c r="G6" s="1801"/>
      <c r="H6" s="1802"/>
      <c r="I6" s="1132"/>
      <c r="J6" s="1134"/>
      <c r="K6" s="1091" t="str">
        <f>Éqpmt!B49</f>
        <v>bureau Dr Ladouceur</v>
      </c>
      <c r="N6" s="1131" t="s">
        <v>445</v>
      </c>
      <c r="O6" s="1131" t="s">
        <v>405</v>
      </c>
    </row>
    <row r="7" spans="1:15" ht="14.1" customHeight="1" x14ac:dyDescent="0.3">
      <c r="B7" s="1139"/>
      <c r="C7" s="1139"/>
      <c r="E7" s="1139"/>
      <c r="F7" s="1135"/>
      <c r="G7" s="1137"/>
      <c r="H7" s="1135"/>
      <c r="I7" s="1132"/>
      <c r="J7" s="1134"/>
      <c r="K7" s="1091" t="str">
        <f>Éqpmt!E49</f>
        <v>bureau Dr Ladouceur</v>
      </c>
      <c r="N7" s="1134"/>
      <c r="O7" s="1131"/>
    </row>
    <row r="8" spans="1:15" ht="14.1" customHeight="1" x14ac:dyDescent="0.3">
      <c r="A8" s="1135"/>
      <c r="B8" s="1139"/>
      <c r="C8" s="1139"/>
      <c r="D8" s="1139"/>
      <c r="E8" s="1139"/>
      <c r="F8" s="1129" t="s">
        <v>691</v>
      </c>
      <c r="G8" s="1139"/>
      <c r="H8" s="1129" t="s">
        <v>691</v>
      </c>
      <c r="I8" s="1132"/>
      <c r="J8" s="1134"/>
      <c r="K8" s="1091" t="str">
        <f>Éqpmt!B57</f>
        <v>technologue</v>
      </c>
      <c r="N8" s="1134"/>
      <c r="O8" s="1131"/>
    </row>
    <row r="9" spans="1:15" s="1134" customFormat="1" ht="15.75" customHeight="1" x14ac:dyDescent="0.3">
      <c r="A9" s="1803" t="s">
        <v>272</v>
      </c>
      <c r="B9" s="1804"/>
      <c r="C9" s="1804"/>
      <c r="D9" s="1805"/>
      <c r="E9" s="1124" t="s">
        <v>290</v>
      </c>
      <c r="F9" s="1124">
        <v>12345</v>
      </c>
      <c r="G9" s="1124" t="s">
        <v>291</v>
      </c>
      <c r="H9" s="1124">
        <v>987</v>
      </c>
      <c r="I9" s="1140"/>
      <c r="K9" s="1091" t="str">
        <f>Éqpmt!E57</f>
        <v>appareil</v>
      </c>
      <c r="O9" s="1131"/>
    </row>
    <row r="10" spans="1:15" s="1134" customFormat="1" ht="14.1" customHeight="1" x14ac:dyDescent="0.3">
      <c r="A10" s="1806"/>
      <c r="B10" s="1807"/>
      <c r="C10" s="1807"/>
      <c r="D10" s="1808"/>
      <c r="E10" s="1798" t="s">
        <v>15</v>
      </c>
      <c r="F10" s="1798"/>
      <c r="G10" s="1798" t="s">
        <v>15</v>
      </c>
      <c r="H10" s="1798"/>
      <c r="I10" s="1140"/>
      <c r="K10" s="1102" t="s">
        <v>179</v>
      </c>
    </row>
    <row r="11" spans="1:15" s="1134" customFormat="1" ht="14.1" customHeight="1" x14ac:dyDescent="0.3">
      <c r="A11" s="1780"/>
      <c r="B11" s="1781"/>
      <c r="C11" s="1781"/>
      <c r="D11" s="1782"/>
      <c r="E11" s="1284" t="s">
        <v>16</v>
      </c>
      <c r="F11" s="1284" t="s">
        <v>17</v>
      </c>
      <c r="G11" s="1284" t="s">
        <v>16</v>
      </c>
      <c r="H11" s="1284" t="s">
        <v>17</v>
      </c>
      <c r="I11" s="1140"/>
      <c r="K11" s="1102" t="s">
        <v>180</v>
      </c>
      <c r="N11" s="1134" t="s">
        <v>466</v>
      </c>
    </row>
    <row r="12" spans="1:15" s="1134" customFormat="1" ht="14.1" customHeight="1" x14ac:dyDescent="0.3">
      <c r="A12" s="1809" t="s">
        <v>273</v>
      </c>
      <c r="B12" s="1809"/>
      <c r="C12" s="1809"/>
      <c r="D12" s="1809"/>
      <c r="E12" s="1129" t="s">
        <v>150</v>
      </c>
      <c r="F12" s="1129"/>
      <c r="G12" s="1084"/>
      <c r="H12" s="1084"/>
      <c r="I12" s="1078"/>
      <c r="K12" s="1102" t="s">
        <v>181</v>
      </c>
      <c r="N12" s="1141" t="s">
        <v>290</v>
      </c>
    </row>
    <row r="13" spans="1:15" s="1134" customFormat="1" ht="14.1" customHeight="1" x14ac:dyDescent="0.3">
      <c r="A13" s="1809" t="s">
        <v>274</v>
      </c>
      <c r="B13" s="1809"/>
      <c r="C13" s="1809"/>
      <c r="D13" s="1809"/>
      <c r="E13" s="1129"/>
      <c r="F13" s="1129"/>
      <c r="G13" s="1084"/>
      <c r="H13" s="1084"/>
      <c r="I13" s="1078"/>
      <c r="K13" s="1102" t="s">
        <v>182</v>
      </c>
      <c r="N13" s="1141" t="s">
        <v>291</v>
      </c>
    </row>
    <row r="14" spans="1:15" s="1134" customFormat="1" ht="14.1" customHeight="1" x14ac:dyDescent="0.3">
      <c r="A14" s="1789" t="s">
        <v>275</v>
      </c>
      <c r="B14" s="1790"/>
      <c r="C14" s="1790"/>
      <c r="D14" s="1791"/>
      <c r="E14" s="1129"/>
      <c r="F14" s="1129"/>
      <c r="G14" s="1084"/>
      <c r="H14" s="1084" t="s">
        <v>150</v>
      </c>
      <c r="I14" s="1078"/>
      <c r="K14" s="1102" t="s">
        <v>183</v>
      </c>
      <c r="N14" s="1141" t="s">
        <v>465</v>
      </c>
    </row>
    <row r="15" spans="1:15" s="1134" customFormat="1" ht="14.1" customHeight="1" x14ac:dyDescent="0.3">
      <c r="A15" s="1789" t="s">
        <v>276</v>
      </c>
      <c r="B15" s="1790"/>
      <c r="C15" s="1790"/>
      <c r="D15" s="1791"/>
      <c r="E15" s="1129"/>
      <c r="F15" s="1129"/>
      <c r="G15" s="1084"/>
      <c r="H15" s="1084"/>
      <c r="I15" s="1078"/>
      <c r="K15" s="1102" t="s">
        <v>184</v>
      </c>
      <c r="N15" s="1141"/>
    </row>
    <row r="16" spans="1:15" s="1134" customFormat="1" ht="14.1" customHeight="1" x14ac:dyDescent="0.3">
      <c r="A16" s="1809" t="s">
        <v>277</v>
      </c>
      <c r="B16" s="1809"/>
      <c r="C16" s="1809"/>
      <c r="D16" s="1129">
        <v>20</v>
      </c>
      <c r="E16" s="1144" t="str">
        <f>IF(ISBLANK($D16),"",IF($D16&lt;=40,"X",""))</f>
        <v>X</v>
      </c>
      <c r="F16" s="1144" t="str">
        <f>IF(ISBLANK($D16),"",IF($D16&lt;=40,"","X"))</f>
        <v/>
      </c>
      <c r="G16" s="1144" t="str">
        <f>IF(ISBLANK($D16),"",IF($D16&lt;=40,"X",""))</f>
        <v>X</v>
      </c>
      <c r="H16" s="1144" t="str">
        <f>IF(ISBLANK($D16),"",IF($D16&lt;=40,"","X"))</f>
        <v/>
      </c>
      <c r="I16" s="1078"/>
      <c r="K16" s="1102" t="s">
        <v>185</v>
      </c>
      <c r="L16" s="1142"/>
    </row>
    <row r="17" spans="1:11" s="1134" customFormat="1" ht="14.25" customHeight="1" x14ac:dyDescent="0.3">
      <c r="A17" s="1139"/>
      <c r="B17" s="1139"/>
      <c r="C17" s="1139"/>
      <c r="D17" s="1139"/>
      <c r="E17" s="1139"/>
      <c r="F17" s="1139"/>
      <c r="G17" s="1139"/>
      <c r="H17" s="1139"/>
      <c r="I17" s="1140"/>
      <c r="K17" s="356" t="s">
        <v>186</v>
      </c>
    </row>
    <row r="18" spans="1:11" s="1134" customFormat="1" ht="14.25" customHeight="1" x14ac:dyDescent="0.3">
      <c r="A18" s="1139"/>
      <c r="B18" s="1139"/>
      <c r="C18" s="1139"/>
      <c r="D18" s="1139"/>
      <c r="E18" s="1139"/>
      <c r="F18" s="1139"/>
      <c r="G18" s="1139"/>
      <c r="H18" s="1139"/>
      <c r="I18" s="1140"/>
      <c r="K18" s="1143"/>
    </row>
    <row r="19" spans="1:11" s="1134" customFormat="1" ht="14.1" customHeight="1" x14ac:dyDescent="0.3">
      <c r="A19" s="1811" t="s">
        <v>278</v>
      </c>
      <c r="B19" s="1811"/>
      <c r="C19" s="1811"/>
      <c r="D19" s="1811"/>
      <c r="E19" s="1144" t="str">
        <f>E9</f>
        <v>Gauche</v>
      </c>
      <c r="F19" s="1275">
        <f>F9</f>
        <v>12345</v>
      </c>
      <c r="G19" s="1144" t="str">
        <f t="shared" ref="G19:H19" si="0">G9</f>
        <v>Droit</v>
      </c>
      <c r="H19" s="1275">
        <f t="shared" si="0"/>
        <v>987</v>
      </c>
      <c r="I19" s="1140"/>
    </row>
    <row r="20" spans="1:11" s="1134" customFormat="1" ht="14.1" customHeight="1" x14ac:dyDescent="0.3">
      <c r="A20" s="1811"/>
      <c r="B20" s="1811"/>
      <c r="C20" s="1811"/>
      <c r="D20" s="1811"/>
      <c r="E20" s="1799" t="s">
        <v>15</v>
      </c>
      <c r="F20" s="1799"/>
      <c r="G20" s="1799" t="s">
        <v>15</v>
      </c>
      <c r="H20" s="1799"/>
      <c r="I20" s="1140"/>
      <c r="K20" s="953" t="s">
        <v>535</v>
      </c>
    </row>
    <row r="21" spans="1:11" s="1134" customFormat="1" ht="14.1" customHeight="1" x14ac:dyDescent="0.3">
      <c r="A21" s="1810" t="s">
        <v>279</v>
      </c>
      <c r="B21" s="1810"/>
      <c r="C21" s="1810"/>
      <c r="D21" s="1810"/>
      <c r="E21" s="1284" t="s">
        <v>16</v>
      </c>
      <c r="F21" s="1284" t="s">
        <v>17</v>
      </c>
      <c r="G21" s="1284" t="s">
        <v>16</v>
      </c>
      <c r="H21" s="1284" t="s">
        <v>17</v>
      </c>
      <c r="I21" s="1140"/>
      <c r="K21" s="1167">
        <f>Éqpmt!B38</f>
        <v>12345</v>
      </c>
    </row>
    <row r="22" spans="1:11" s="1134" customFormat="1" ht="14.1" customHeight="1" x14ac:dyDescent="0.3">
      <c r="A22" s="1792" t="s">
        <v>280</v>
      </c>
      <c r="B22" s="1790"/>
      <c r="C22" s="1790"/>
      <c r="D22" s="1791"/>
      <c r="E22" s="1129"/>
      <c r="F22" s="1129"/>
      <c r="G22" s="1129"/>
      <c r="H22" s="1129"/>
      <c r="I22" s="1078"/>
      <c r="K22" s="1167">
        <f>Éqpmt!E38</f>
        <v>567789</v>
      </c>
    </row>
    <row r="23" spans="1:11" s="1134" customFormat="1" ht="14.1" customHeight="1" x14ac:dyDescent="0.3">
      <c r="A23" s="1145" t="s">
        <v>281</v>
      </c>
      <c r="B23" s="1145"/>
      <c r="C23" s="1145"/>
      <c r="D23" s="1145"/>
      <c r="E23" s="1129"/>
      <c r="F23" s="1129"/>
      <c r="G23" s="1129"/>
      <c r="H23" s="1129"/>
      <c r="I23" s="1078"/>
      <c r="K23" s="1167">
        <f>Éqpmt!B45</f>
        <v>87654</v>
      </c>
    </row>
    <row r="24" spans="1:11" s="1134" customFormat="1" ht="14.1" customHeight="1" x14ac:dyDescent="0.3">
      <c r="A24" s="1792" t="s">
        <v>282</v>
      </c>
      <c r="B24" s="1790"/>
      <c r="C24" s="1790"/>
      <c r="D24" s="1791"/>
      <c r="E24" s="1129"/>
      <c r="F24" s="1129"/>
      <c r="G24" s="1129"/>
      <c r="H24" s="1129"/>
      <c r="I24" s="1078"/>
      <c r="K24" s="1167">
        <f>Éqpmt!E45</f>
        <v>987</v>
      </c>
    </row>
    <row r="25" spans="1:11" s="1134" customFormat="1" ht="14.1" customHeight="1" x14ac:dyDescent="0.3">
      <c r="A25" s="1792" t="s">
        <v>283</v>
      </c>
      <c r="B25" s="1790"/>
      <c r="C25" s="1790"/>
      <c r="D25" s="1791"/>
      <c r="E25" s="1129"/>
      <c r="F25" s="1129"/>
      <c r="G25" s="1129"/>
      <c r="H25" s="1129"/>
      <c r="I25" s="1078"/>
      <c r="K25" s="1167">
        <f>Éqpmt!B52</f>
        <v>7654</v>
      </c>
    </row>
    <row r="26" spans="1:11" s="1134" customFormat="1" ht="14.1" customHeight="1" x14ac:dyDescent="0.3">
      <c r="A26" s="1792" t="s">
        <v>284</v>
      </c>
      <c r="B26" s="1790"/>
      <c r="C26" s="1790"/>
      <c r="D26" s="1791"/>
      <c r="E26" s="1129"/>
      <c r="F26" s="1129"/>
      <c r="G26" s="1129"/>
      <c r="H26" s="1129"/>
      <c r="I26" s="1078"/>
      <c r="K26" s="1167">
        <f>Éqpmt!E52</f>
        <v>1234</v>
      </c>
    </row>
    <row r="27" spans="1:11" s="1134" customFormat="1" ht="14.1" customHeight="1" x14ac:dyDescent="0.3">
      <c r="A27" s="1792" t="s">
        <v>285</v>
      </c>
      <c r="B27" s="1790"/>
      <c r="C27" s="1790"/>
      <c r="D27" s="1791"/>
      <c r="E27" s="1129"/>
      <c r="F27" s="1129"/>
      <c r="G27" s="1129"/>
      <c r="H27" s="1129"/>
      <c r="I27" s="1078"/>
      <c r="K27" s="1167">
        <f>Éqpmt!B60</f>
        <v>8654</v>
      </c>
    </row>
    <row r="28" spans="1:11" s="1134" customFormat="1" ht="14.1" customHeight="1" x14ac:dyDescent="0.3">
      <c r="A28" s="1792" t="s">
        <v>286</v>
      </c>
      <c r="B28" s="1790"/>
      <c r="C28" s="1790"/>
      <c r="D28" s="1791"/>
      <c r="E28" s="1129"/>
      <c r="F28" s="1129"/>
      <c r="G28" s="1129"/>
      <c r="H28" s="1129"/>
      <c r="I28" s="1078"/>
      <c r="K28" s="954">
        <f>Éqpmt!E60</f>
        <v>241462</v>
      </c>
    </row>
    <row r="29" spans="1:11" s="1134" customFormat="1" ht="14.1" customHeight="1" x14ac:dyDescent="0.3">
      <c r="A29" s="1792" t="s">
        <v>287</v>
      </c>
      <c r="B29" s="1790"/>
      <c r="C29" s="1790"/>
      <c r="D29" s="1791"/>
      <c r="E29" s="1129"/>
      <c r="F29" s="1129"/>
      <c r="G29" s="1129"/>
      <c r="H29" s="1129"/>
      <c r="I29" s="1078"/>
    </row>
    <row r="30" spans="1:11" s="1134" customFormat="1" ht="14.1" customHeight="1" x14ac:dyDescent="0.3">
      <c r="A30" s="1787" t="s">
        <v>913</v>
      </c>
      <c r="B30" s="1788"/>
      <c r="C30" s="1788"/>
      <c r="D30" s="1788"/>
      <c r="E30" s="1276"/>
      <c r="F30" s="1276"/>
      <c r="G30" s="1276"/>
      <c r="H30" s="1277"/>
      <c r="I30" s="1140"/>
    </row>
    <row r="31" spans="1:11" s="1134" customFormat="1" ht="14.1" customHeight="1" x14ac:dyDescent="0.3">
      <c r="A31" s="1792" t="s">
        <v>428</v>
      </c>
      <c r="B31" s="1790"/>
      <c r="C31" s="1790"/>
      <c r="D31" s="1791"/>
      <c r="E31" s="1129"/>
      <c r="F31" s="1129"/>
      <c r="G31" s="1129"/>
      <c r="H31" s="1129"/>
      <c r="I31" s="1078"/>
    </row>
    <row r="32" spans="1:11" s="1134" customFormat="1" ht="14.1" customHeight="1" x14ac:dyDescent="0.3">
      <c r="A32" s="1792" t="s">
        <v>288</v>
      </c>
      <c r="B32" s="1790"/>
      <c r="C32" s="1790"/>
      <c r="D32" s="1791"/>
      <c r="E32" s="1129"/>
      <c r="F32" s="1129"/>
      <c r="G32" s="1129"/>
      <c r="H32" s="1129"/>
      <c r="I32" s="1078"/>
    </row>
    <row r="33" spans="1:11" s="1134" customFormat="1" ht="14.1" customHeight="1" x14ac:dyDescent="0.3">
      <c r="A33" s="1792" t="s">
        <v>289</v>
      </c>
      <c r="B33" s="1790"/>
      <c r="C33" s="1790"/>
      <c r="D33" s="1791"/>
      <c r="E33" s="1129"/>
      <c r="F33" s="1129"/>
      <c r="G33" s="1129"/>
      <c r="H33" s="1129"/>
      <c r="I33" s="1078"/>
    </row>
    <row r="34" spans="1:11" s="1134" customFormat="1" x14ac:dyDescent="0.3">
      <c r="A34" s="1139"/>
      <c r="B34" s="1139"/>
      <c r="C34" s="1139"/>
      <c r="D34" s="1139"/>
      <c r="E34" s="1139"/>
      <c r="F34" s="1139"/>
      <c r="G34" s="1139"/>
      <c r="H34" s="1139"/>
      <c r="I34" s="1140"/>
    </row>
    <row r="35" spans="1:11" s="1134" customFormat="1" ht="14.1" customHeight="1" x14ac:dyDescent="0.3">
      <c r="A35" s="764" t="s">
        <v>292</v>
      </c>
      <c r="B35" s="765"/>
      <c r="C35" s="765"/>
      <c r="D35" s="766"/>
      <c r="E35" s="1144" t="str">
        <f>E9</f>
        <v>Gauche</v>
      </c>
      <c r="F35" s="1275">
        <f>F9</f>
        <v>12345</v>
      </c>
      <c r="G35" s="1144" t="str">
        <f>G9</f>
        <v>Droit</v>
      </c>
      <c r="H35" s="1275">
        <f>H9</f>
        <v>987</v>
      </c>
      <c r="I35" s="1140"/>
    </row>
    <row r="36" spans="1:11" s="1134" customFormat="1" ht="14.1" customHeight="1" x14ac:dyDescent="0.3">
      <c r="A36" s="1777" t="s">
        <v>293</v>
      </c>
      <c r="B36" s="1778"/>
      <c r="C36" s="1778"/>
      <c r="D36" s="1779"/>
      <c r="E36" s="1772" t="s">
        <v>294</v>
      </c>
      <c r="F36" s="1773"/>
      <c r="G36" s="1772" t="s">
        <v>294</v>
      </c>
      <c r="H36" s="1773"/>
      <c r="I36" s="1140"/>
    </row>
    <row r="37" spans="1:11" s="1134" customFormat="1" ht="14.1" customHeight="1" x14ac:dyDescent="0.3">
      <c r="A37" s="1780"/>
      <c r="B37" s="1781"/>
      <c r="C37" s="1781"/>
      <c r="D37" s="1782"/>
      <c r="E37" s="767" t="s">
        <v>414</v>
      </c>
      <c r="F37" s="1284" t="s">
        <v>413</v>
      </c>
      <c r="G37" s="768" t="s">
        <v>414</v>
      </c>
      <c r="H37" s="1284" t="s">
        <v>413</v>
      </c>
      <c r="I37" s="1140"/>
    </row>
    <row r="38" spans="1:11" s="1134" customFormat="1" ht="14.1" customHeight="1" x14ac:dyDescent="0.3">
      <c r="A38" s="1774" t="s">
        <v>295</v>
      </c>
      <c r="B38" s="1775"/>
      <c r="C38" s="1775"/>
      <c r="D38" s="1776"/>
      <c r="E38" s="1085">
        <v>2.75</v>
      </c>
      <c r="F38" s="1085">
        <v>203</v>
      </c>
      <c r="G38" s="1085">
        <v>2.72</v>
      </c>
      <c r="H38" s="1085">
        <v>151.09</v>
      </c>
      <c r="I38" s="1140"/>
    </row>
    <row r="39" spans="1:11" s="1134" customFormat="1" ht="14.1" customHeight="1" x14ac:dyDescent="0.3">
      <c r="A39" s="1774" t="s">
        <v>296</v>
      </c>
      <c r="B39" s="1775"/>
      <c r="C39" s="1775"/>
      <c r="D39" s="1776"/>
      <c r="E39" s="1085">
        <v>2.71</v>
      </c>
      <c r="F39" s="1085">
        <v>204</v>
      </c>
      <c r="G39" s="1085">
        <v>2.74</v>
      </c>
      <c r="H39" s="1085">
        <v>151.19999999999999</v>
      </c>
      <c r="I39" s="1140"/>
    </row>
    <row r="40" spans="1:11" s="1134" customFormat="1" ht="14.1" customHeight="1" x14ac:dyDescent="0.3">
      <c r="A40" s="1774" t="s">
        <v>297</v>
      </c>
      <c r="B40" s="1775"/>
      <c r="C40" s="1775"/>
      <c r="D40" s="1776"/>
      <c r="E40" s="1085">
        <v>3.16</v>
      </c>
      <c r="F40" s="1085">
        <v>219</v>
      </c>
      <c r="G40" s="1085">
        <v>3.18</v>
      </c>
      <c r="H40" s="1085">
        <v>177.6</v>
      </c>
      <c r="I40" s="1140"/>
    </row>
    <row r="41" spans="1:11" s="1134" customFormat="1" ht="14.1" customHeight="1" x14ac:dyDescent="0.3">
      <c r="A41" s="1774" t="s">
        <v>298</v>
      </c>
      <c r="B41" s="1775"/>
      <c r="C41" s="1775"/>
      <c r="D41" s="1776"/>
      <c r="E41" s="1085">
        <v>2.61</v>
      </c>
      <c r="F41" s="1085">
        <v>195</v>
      </c>
      <c r="G41" s="1085">
        <v>3.22</v>
      </c>
      <c r="H41" s="1085">
        <v>161.56</v>
      </c>
      <c r="I41" s="1140"/>
      <c r="K41" s="1166"/>
    </row>
    <row r="42" spans="1:11" s="1134" customFormat="1" ht="14.1" customHeight="1" x14ac:dyDescent="0.3">
      <c r="A42" s="1774" t="s">
        <v>299</v>
      </c>
      <c r="B42" s="1775"/>
      <c r="C42" s="1775"/>
      <c r="D42" s="1776"/>
      <c r="E42" s="1085">
        <v>2.71</v>
      </c>
      <c r="F42" s="1085">
        <v>210</v>
      </c>
      <c r="G42" s="1085">
        <v>2.75</v>
      </c>
      <c r="H42" s="1085">
        <v>150.84</v>
      </c>
      <c r="I42" s="1140"/>
    </row>
    <row r="43" spans="1:11" s="1134" customFormat="1" ht="14.1" customHeight="1" x14ac:dyDescent="0.3">
      <c r="A43" s="1783" t="s">
        <v>300</v>
      </c>
      <c r="B43" s="1784"/>
      <c r="C43" s="1784"/>
      <c r="D43" s="1785"/>
      <c r="E43" s="1146"/>
      <c r="F43" s="1146"/>
      <c r="G43" s="1146"/>
      <c r="H43" s="1146"/>
      <c r="I43" s="1140"/>
    </row>
    <row r="44" spans="1:11" s="1134" customFormat="1" ht="14.1" customHeight="1" x14ac:dyDescent="0.3">
      <c r="A44" s="1774" t="s">
        <v>296</v>
      </c>
      <c r="B44" s="1775"/>
      <c r="C44" s="1775"/>
      <c r="D44" s="1776"/>
      <c r="E44" s="1147">
        <f t="shared" ref="E44:H47" si="1">IF(E$38="","",ABS(E39-E$38)/E$38)</f>
        <v>1.4545454545454558E-2</v>
      </c>
      <c r="F44" s="1147">
        <f t="shared" si="1"/>
        <v>4.9261083743842365E-3</v>
      </c>
      <c r="G44" s="1147">
        <f t="shared" si="1"/>
        <v>7.3529411764705942E-3</v>
      </c>
      <c r="H44" s="1147">
        <f t="shared" si="1"/>
        <v>7.2804288834459735E-4</v>
      </c>
      <c r="I44" s="1140"/>
    </row>
    <row r="45" spans="1:11" s="1134" customFormat="1" ht="14.1" customHeight="1" x14ac:dyDescent="0.3">
      <c r="A45" s="1774" t="s">
        <v>297</v>
      </c>
      <c r="B45" s="1775"/>
      <c r="C45" s="1775"/>
      <c r="D45" s="1776"/>
      <c r="E45" s="1147">
        <f t="shared" si="1"/>
        <v>0.14909090909090914</v>
      </c>
      <c r="F45" s="1147">
        <f t="shared" si="1"/>
        <v>7.8817733990147784E-2</v>
      </c>
      <c r="G45" s="1147">
        <f t="shared" si="1"/>
        <v>0.16911764705882351</v>
      </c>
      <c r="H45" s="1147">
        <f t="shared" si="1"/>
        <v>0.17545833609107148</v>
      </c>
      <c r="I45" s="1140"/>
    </row>
    <row r="46" spans="1:11" s="1134" customFormat="1" ht="14.1" customHeight="1" x14ac:dyDescent="0.3">
      <c r="A46" s="1774" t="s">
        <v>298</v>
      </c>
      <c r="B46" s="1775"/>
      <c r="C46" s="1775"/>
      <c r="D46" s="1776"/>
      <c r="E46" s="1147">
        <f t="shared" si="1"/>
        <v>5.0909090909090952E-2</v>
      </c>
      <c r="F46" s="1147">
        <f t="shared" si="1"/>
        <v>3.9408866995073892E-2</v>
      </c>
      <c r="G46" s="1147">
        <f t="shared" si="1"/>
        <v>0.18382352941176469</v>
      </c>
      <c r="H46" s="1147">
        <f t="shared" si="1"/>
        <v>6.929644582699053E-2</v>
      </c>
      <c r="I46" s="1140"/>
    </row>
    <row r="47" spans="1:11" s="1134" customFormat="1" ht="14.1" customHeight="1" x14ac:dyDescent="0.3">
      <c r="A47" s="1774" t="s">
        <v>299</v>
      </c>
      <c r="B47" s="1775"/>
      <c r="C47" s="1775"/>
      <c r="D47" s="1776"/>
      <c r="E47" s="1147">
        <f t="shared" si="1"/>
        <v>1.4545454545454558E-2</v>
      </c>
      <c r="F47" s="1147">
        <f t="shared" si="1"/>
        <v>3.4482758620689655E-2</v>
      </c>
      <c r="G47" s="1147">
        <f t="shared" si="1"/>
        <v>1.102941176470581E-2</v>
      </c>
      <c r="H47" s="1147">
        <f t="shared" si="1"/>
        <v>1.6546429280561254E-3</v>
      </c>
      <c r="I47" s="1140"/>
    </row>
    <row r="48" spans="1:11" s="1134" customFormat="1" ht="14.1" customHeight="1" x14ac:dyDescent="0.3">
      <c r="A48" s="1774" t="s">
        <v>301</v>
      </c>
      <c r="B48" s="1775"/>
      <c r="C48" s="1775"/>
      <c r="D48" s="1776"/>
      <c r="E48" s="1147">
        <f>IF(E$38="","",MAX(E44:E47))</f>
        <v>0.14909090909090914</v>
      </c>
      <c r="F48" s="1147">
        <f>IF(F$38="","",MAX(F44:F47))</f>
        <v>7.8817733990147784E-2</v>
      </c>
      <c r="G48" s="1147">
        <f>IF(G$38="","",MAX(G44:G47))</f>
        <v>0.18382352941176469</v>
      </c>
      <c r="H48" s="1147">
        <f>IF(H$38="","",MAX(H44:H47))</f>
        <v>0.17545833609107148</v>
      </c>
      <c r="I48" s="1140"/>
    </row>
    <row r="49" spans="1:14" s="1134" customFormat="1" ht="14.1" customHeight="1" x14ac:dyDescent="0.3">
      <c r="A49" s="1163" t="s">
        <v>784</v>
      </c>
      <c r="C49" s="1135"/>
      <c r="D49" s="1135"/>
      <c r="E49" s="1796" t="s">
        <v>15</v>
      </c>
      <c r="F49" s="1797"/>
      <c r="G49" s="1796" t="s">
        <v>15</v>
      </c>
      <c r="H49" s="1797"/>
      <c r="I49" s="1140"/>
      <c r="L49" s="1149"/>
      <c r="N49" s="1133"/>
    </row>
    <row r="50" spans="1:14" s="1134" customFormat="1" ht="14.1" customHeight="1" x14ac:dyDescent="0.3">
      <c r="A50" s="1148" t="s">
        <v>830</v>
      </c>
      <c r="C50" s="1135"/>
      <c r="D50" s="1135"/>
      <c r="E50" s="1284" t="s">
        <v>16</v>
      </c>
      <c r="F50" s="1284" t="s">
        <v>17</v>
      </c>
      <c r="G50" s="1284" t="s">
        <v>16</v>
      </c>
      <c r="H50" s="1284" t="s">
        <v>17</v>
      </c>
      <c r="I50" s="1140"/>
      <c r="N50" s="1133"/>
    </row>
    <row r="51" spans="1:14" s="1134" customFormat="1" ht="14.1" customHeight="1" x14ac:dyDescent="0.3">
      <c r="A51" s="1150" t="s">
        <v>833</v>
      </c>
      <c r="B51" s="1139"/>
      <c r="C51" s="1139"/>
      <c r="D51" s="1151" t="s">
        <v>415</v>
      </c>
      <c r="E51" s="1144" t="str">
        <f>IF(E48="","",IF(AND(E48&lt;=15%,F48&lt;=15%),"X",""))</f>
        <v>X</v>
      </c>
      <c r="F51" s="1144" t="str">
        <f>IF(E48="","",IF(OR(F48&gt;15%,E48&gt;15%),"X",""))</f>
        <v/>
      </c>
      <c r="G51" s="1144" t="str">
        <f>IF(G48="","",IF(AND(G48&lt;=15%,H48&lt;=15%),"X",""))</f>
        <v/>
      </c>
      <c r="H51" s="1144" t="str">
        <f>IF(G48="","",IF(OR(H48&gt;15%,G48&gt;15%),"X",""))</f>
        <v>X</v>
      </c>
      <c r="I51" s="1078"/>
      <c r="N51" s="1133"/>
    </row>
    <row r="52" spans="1:14" s="1134" customFormat="1" ht="14.1" customHeight="1" x14ac:dyDescent="0.3">
      <c r="A52" s="1139"/>
      <c r="B52" s="1139"/>
      <c r="C52" s="1139"/>
      <c r="D52" s="1151"/>
      <c r="I52" s="1078"/>
      <c r="N52" s="1133"/>
    </row>
    <row r="53" spans="1:14" s="1134" customFormat="1" ht="14.1" customHeight="1" x14ac:dyDescent="0.3">
      <c r="B53" s="1139"/>
      <c r="C53" s="1139"/>
      <c r="D53" s="1139"/>
      <c r="I53" s="1140"/>
      <c r="N53" s="1133"/>
    </row>
    <row r="54" spans="1:14" ht="14.1" customHeight="1" x14ac:dyDescent="0.3">
      <c r="A54" s="698" t="s">
        <v>778</v>
      </c>
      <c r="B54" s="698"/>
      <c r="C54" s="698"/>
      <c r="D54" s="1786"/>
      <c r="E54" s="1786"/>
      <c r="F54" s="1786"/>
      <c r="G54" s="1786"/>
      <c r="H54" s="1786"/>
      <c r="I54" s="1132"/>
    </row>
    <row r="55" spans="1:14" ht="14.1" customHeight="1" x14ac:dyDescent="0.3">
      <c r="A55" s="1745"/>
      <c r="B55" s="1745"/>
      <c r="C55" s="1745"/>
      <c r="D55" s="1771"/>
      <c r="E55" s="1771"/>
      <c r="F55" s="1771"/>
      <c r="G55" s="1771"/>
      <c r="H55" s="1771"/>
      <c r="I55" s="1123" t="s">
        <v>490</v>
      </c>
    </row>
    <row r="56" spans="1:14" ht="14.1" customHeight="1" x14ac:dyDescent="0.3">
      <c r="A56" s="1759"/>
      <c r="B56" s="1759"/>
      <c r="C56" s="1759"/>
      <c r="D56" s="1759"/>
      <c r="E56" s="1759"/>
      <c r="F56" s="1759"/>
      <c r="G56" s="1759"/>
      <c r="H56" s="1759"/>
      <c r="I56" s="1083">
        <f>+COUNTIF(H51,"X")+COUNTIF(F22:F33,"X")+COUNTIF(F51,"X")+COUNTIF(H12:H16,"X")+COUNTIF(F12:F16,"X")+COUNTIF(H22:H33,"X")</f>
        <v>2</v>
      </c>
    </row>
    <row r="67" spans="1:8" x14ac:dyDescent="0.3">
      <c r="A67" s="1139"/>
      <c r="B67" s="1139"/>
      <c r="C67" s="1139"/>
      <c r="D67" s="1139"/>
      <c r="F67" s="1152"/>
      <c r="G67" s="1152"/>
      <c r="H67" s="1152"/>
    </row>
  </sheetData>
  <sheetProtection algorithmName="SHA-512" hashValue="oKhX0dzSfIfrHJY7AOpUJFivAlOKBhamYtosVZ/kkFJ7nh/WWcsVb/ARQOefvR7oMMQ1tOTaCd/oHtCzJ34ajw==" saltValue="qDTpCdi+uL+EpR1GgaZZ4Q==" spinCount="100000" sheet="1" objects="1" scenarios="1"/>
  <mergeCells count="44">
    <mergeCell ref="A12:D12"/>
    <mergeCell ref="E5:H5"/>
    <mergeCell ref="E6:H6"/>
    <mergeCell ref="A9:D11"/>
    <mergeCell ref="E10:F10"/>
    <mergeCell ref="G10:H10"/>
    <mergeCell ref="A13:D13"/>
    <mergeCell ref="A14:D14"/>
    <mergeCell ref="A15:D15"/>
    <mergeCell ref="A16:C16"/>
    <mergeCell ref="A19:D20"/>
    <mergeCell ref="A32:D32"/>
    <mergeCell ref="G20:H20"/>
    <mergeCell ref="A21:D21"/>
    <mergeCell ref="A22:D22"/>
    <mergeCell ref="A24:D24"/>
    <mergeCell ref="A25:D25"/>
    <mergeCell ref="A26:D26"/>
    <mergeCell ref="E20:F20"/>
    <mergeCell ref="A27:D27"/>
    <mergeCell ref="A28:D28"/>
    <mergeCell ref="A29:D29"/>
    <mergeCell ref="A30:D30"/>
    <mergeCell ref="A31:D31"/>
    <mergeCell ref="A45:D45"/>
    <mergeCell ref="A33:D33"/>
    <mergeCell ref="A36:D37"/>
    <mergeCell ref="E36:F36"/>
    <mergeCell ref="G36:H36"/>
    <mergeCell ref="A38:D38"/>
    <mergeCell ref="A39:D39"/>
    <mergeCell ref="A40:D40"/>
    <mergeCell ref="A41:D41"/>
    <mergeCell ref="A42:D42"/>
    <mergeCell ref="A43:D43"/>
    <mergeCell ref="A44:D44"/>
    <mergeCell ref="A55:H55"/>
    <mergeCell ref="A56:H56"/>
    <mergeCell ref="A46:D46"/>
    <mergeCell ref="A47:D47"/>
    <mergeCell ref="A48:D48"/>
    <mergeCell ref="E49:F49"/>
    <mergeCell ref="G49:H49"/>
    <mergeCell ref="D54:H54"/>
  </mergeCells>
  <conditionalFormatting sqref="E44:H48">
    <cfRule type="cellIs" dxfId="35" priority="1" operator="greaterThan">
      <formula>0.15</formula>
    </cfRule>
  </conditionalFormatting>
  <dataValidations count="4">
    <dataValidation type="list" allowBlank="1" showInputMessage="1" showErrorMessage="1" sqref="F9 H9" xr:uid="{29A69C38-5E85-4124-8D7A-98D5C6993503}">
      <formula1>$K$21:$K$28</formula1>
    </dataValidation>
    <dataValidation type="list" allowBlank="1" showInputMessage="1" showErrorMessage="1" sqref="E9 G9" xr:uid="{80C2B4DC-F314-4DAD-8D89-A1957B86A003}">
      <formula1>$N$12:$N$15</formula1>
    </dataValidation>
    <dataValidation type="list" allowBlank="1" showInputMessage="1" showErrorMessage="1" sqref="E6:H6" xr:uid="{623F11E5-44F1-40F0-86EE-5291E23D53F9}">
      <formula1>$N$5:$N$6</formula1>
    </dataValidation>
    <dataValidation type="list" allowBlank="1" showInputMessage="1" showErrorMessage="1" sqref="E5:H5" xr:uid="{D9FEA8AE-7CAE-447E-9873-A327689B19F3}">
      <formula1>$K$2:$K$18</formula1>
    </dataValidation>
  </dataValidations>
  <printOptions horizontalCentered="1"/>
  <pageMargins left="0.70866141732283472" right="0.70866141732283472" top="0.74803149606299213" bottom="0.74803149606299213" header="0.31496062992125984" footer="0.31496062992125984"/>
  <pageSetup paperSize="120" scale="79" firstPageNumber="11" orientation="portrait" r:id="rId1"/>
  <headerFooter>
    <oddFooter>&amp;CPage &amp;P de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F075-8324-4B12-9172-8023882C9813}">
  <sheetPr>
    <tabColor theme="5" tint="-0.249977111117893"/>
    <pageSetUpPr fitToPage="1"/>
  </sheetPr>
  <dimension ref="A1:AN59"/>
  <sheetViews>
    <sheetView topLeftCell="A6" zoomScaleNormal="100" workbookViewId="0">
      <selection activeCell="L33" sqref="L33"/>
    </sheetView>
  </sheetViews>
  <sheetFormatPr baseColWidth="10" defaultColWidth="10.6640625" defaultRowHeight="14.4" x14ac:dyDescent="0.3"/>
  <cols>
    <col min="1" max="2" width="10.6640625" style="1075"/>
    <col min="3" max="3" width="5.77734375" style="1075" customWidth="1"/>
    <col min="4" max="4" width="13.6640625" style="1075" customWidth="1"/>
    <col min="5" max="7" width="10.6640625" style="1075"/>
    <col min="8" max="8" width="14.33203125" style="1075" customWidth="1"/>
    <col min="9" max="10" width="10.6640625" style="1075"/>
    <col min="11" max="11" width="8.6640625" style="1075" customWidth="1"/>
    <col min="12" max="12" width="26.6640625" style="1075" customWidth="1"/>
    <col min="13" max="13" width="10.6640625" style="1075"/>
    <col min="14" max="14" width="11.33203125" style="1075" bestFit="1" customWidth="1"/>
    <col min="15" max="21" width="10.6640625" style="1075"/>
    <col min="22" max="22" width="5.6640625" style="1075" customWidth="1"/>
    <col min="23" max="16384" width="10.6640625" style="1075"/>
  </cols>
  <sheetData>
    <row r="1" spans="1:40" x14ac:dyDescent="0.3">
      <c r="A1" s="341" t="s">
        <v>753</v>
      </c>
      <c r="B1" s="342"/>
      <c r="C1" s="958"/>
      <c r="D1" s="343" t="str">
        <f>+Info!C10</f>
        <v>Clinique Ste-Mammo</v>
      </c>
      <c r="E1" s="342"/>
      <c r="F1" s="342"/>
      <c r="G1" s="342"/>
      <c r="H1" s="344" t="s">
        <v>755</v>
      </c>
      <c r="I1" s="342"/>
      <c r="J1" s="345" t="str">
        <f>+Info!C37</f>
        <v>20-01-2020</v>
      </c>
      <c r="K1" s="1086"/>
      <c r="L1" s="1075" t="s">
        <v>449</v>
      </c>
      <c r="X1" s="1087" t="s">
        <v>351</v>
      </c>
      <c r="Y1" s="1088">
        <v>-1.3011877000000001</v>
      </c>
      <c r="Z1" s="1087" t="s">
        <v>361</v>
      </c>
      <c r="AA1" s="1088">
        <v>2.874562E-2</v>
      </c>
      <c r="AC1" s="1087"/>
      <c r="AD1" s="1087"/>
      <c r="AE1" s="1087" t="s">
        <v>352</v>
      </c>
      <c r="AF1" s="1089">
        <v>71.498068000000004</v>
      </c>
      <c r="AG1" s="1087" t="s">
        <v>360</v>
      </c>
      <c r="AH1" s="1087">
        <v>0.28175407000000002</v>
      </c>
      <c r="AI1" s="1087" t="s">
        <v>385</v>
      </c>
      <c r="AJ1" s="1087"/>
      <c r="AK1" s="1087"/>
      <c r="AL1" s="1087"/>
      <c r="AM1" s="1087"/>
      <c r="AN1" s="1087"/>
    </row>
    <row r="2" spans="1:40" x14ac:dyDescent="0.3">
      <c r="A2" s="346" t="s">
        <v>754</v>
      </c>
      <c r="B2" s="347"/>
      <c r="C2" s="347"/>
      <c r="D2" s="1202" t="str">
        <f>+Info!C21</f>
        <v>Salle 2, Hirad IV</v>
      </c>
      <c r="E2" s="347"/>
      <c r="F2" s="347"/>
      <c r="G2" s="347"/>
      <c r="H2" s="348" t="s">
        <v>756</v>
      </c>
      <c r="I2" s="347"/>
      <c r="J2" s="349" t="str">
        <f>+Info!C35</f>
        <v>Alexandre Toussaint</v>
      </c>
      <c r="K2" s="1086"/>
      <c r="L2" s="350" t="str">
        <f>Éqpmt!B35</f>
        <v>bureau Dr Xxx (console #3)</v>
      </c>
      <c r="X2" s="1087" t="s">
        <v>353</v>
      </c>
      <c r="Y2" s="1088">
        <v>-2.5840190999999998E-2</v>
      </c>
      <c r="Z2" s="1087" t="s">
        <v>363</v>
      </c>
      <c r="AA2" s="1088">
        <v>-2.5468404E-2</v>
      </c>
      <c r="AC2" s="1087"/>
      <c r="AD2" s="1087"/>
      <c r="AE2" s="1087" t="s">
        <v>354</v>
      </c>
      <c r="AF2" s="1087">
        <v>94.593052999999998</v>
      </c>
      <c r="AG2" s="1087" t="s">
        <v>362</v>
      </c>
      <c r="AH2" s="1087">
        <v>-1.1878455000000001</v>
      </c>
      <c r="AI2" s="1087"/>
      <c r="AJ2" s="1087"/>
      <c r="AK2" s="1090" t="s">
        <v>386</v>
      </c>
      <c r="AL2" s="1087">
        <f>(AH26-AH9)/AF26</f>
        <v>0.15550028793269588</v>
      </c>
      <c r="AM2" s="1087"/>
      <c r="AN2" s="1087"/>
    </row>
    <row r="3" spans="1:40" ht="14.1" customHeight="1" x14ac:dyDescent="0.3">
      <c r="K3" s="1080"/>
      <c r="L3" s="1091" t="str">
        <f>Éqpmt!E35</f>
        <v>bureau Dr Xxx (console #3)</v>
      </c>
      <c r="P3" s="1079" t="s">
        <v>403</v>
      </c>
      <c r="Q3" s="1079"/>
      <c r="X3" s="1087" t="s">
        <v>355</v>
      </c>
      <c r="Y3" s="1088">
        <v>8.0242636000000006E-2</v>
      </c>
      <c r="Z3" s="1087" t="s">
        <v>365</v>
      </c>
      <c r="AA3" s="1088">
        <v>-3.1978977000000001E-3</v>
      </c>
      <c r="AC3" s="1087"/>
      <c r="AD3" s="1087"/>
      <c r="AE3" s="1087" t="s">
        <v>356</v>
      </c>
      <c r="AF3" s="1087">
        <v>41.912053</v>
      </c>
      <c r="AG3" s="1087" t="s">
        <v>364</v>
      </c>
      <c r="AH3" s="1087">
        <v>-0.18014348999999999</v>
      </c>
      <c r="AI3" s="1087"/>
      <c r="AJ3" s="1087"/>
      <c r="AK3" s="1090" t="s">
        <v>387</v>
      </c>
      <c r="AL3" s="1092">
        <f>AH9</f>
        <v>71.498068000000004</v>
      </c>
      <c r="AM3" s="1087"/>
      <c r="AN3" s="1087"/>
    </row>
    <row r="4" spans="1:40" ht="14.1" customHeight="1" x14ac:dyDescent="0.3">
      <c r="A4" s="1093" t="s">
        <v>831</v>
      </c>
      <c r="G4" s="1125" t="s">
        <v>769</v>
      </c>
      <c r="H4" s="1814" t="s">
        <v>588</v>
      </c>
      <c r="I4" s="1815"/>
      <c r="J4" s="1816"/>
      <c r="K4" s="1080"/>
      <c r="L4" s="1091" t="str">
        <f>Éqpmt!B42</f>
        <v>salle 5043</v>
      </c>
      <c r="P4" s="1079" t="s">
        <v>291</v>
      </c>
      <c r="Q4" s="1079" t="s">
        <v>271</v>
      </c>
      <c r="X4" s="1087" t="s">
        <v>357</v>
      </c>
      <c r="Y4" s="1088">
        <v>-0.10320229</v>
      </c>
      <c r="Z4" s="1087" t="s">
        <v>367</v>
      </c>
      <c r="AA4" s="1088">
        <v>1.2992634000000001E-4</v>
      </c>
      <c r="AC4" s="1087"/>
      <c r="AD4" s="1087"/>
      <c r="AE4" s="1087" t="s">
        <v>358</v>
      </c>
      <c r="AF4" s="1087">
        <v>9.8247003999999993</v>
      </c>
      <c r="AG4" s="1087" t="s">
        <v>366</v>
      </c>
      <c r="AH4" s="1087">
        <v>0.14710899</v>
      </c>
      <c r="AI4" s="1087"/>
      <c r="AJ4" s="1087"/>
      <c r="AK4" s="1087"/>
      <c r="AL4" s="1087"/>
      <c r="AM4" s="1087"/>
      <c r="AN4" s="1087"/>
    </row>
    <row r="5" spans="1:40" ht="14.1" customHeight="1" x14ac:dyDescent="0.3">
      <c r="A5" s="1094" t="s">
        <v>302</v>
      </c>
      <c r="H5" s="1822"/>
      <c r="I5" s="1822"/>
      <c r="J5" s="1822"/>
      <c r="K5" s="1080"/>
      <c r="L5" s="1091" t="str">
        <f>Éqpmt!E42</f>
        <v>salle 5043</v>
      </c>
      <c r="P5" s="1079" t="s">
        <v>290</v>
      </c>
      <c r="Q5" s="1079" t="s">
        <v>405</v>
      </c>
      <c r="X5" s="1087" t="s">
        <v>359</v>
      </c>
      <c r="Y5" s="1088">
        <v>0.13646699000000001</v>
      </c>
      <c r="Z5" s="1087" t="s">
        <v>369</v>
      </c>
      <c r="AA5" s="1088">
        <v>1.3635334E-3</v>
      </c>
      <c r="AC5" s="1087"/>
      <c r="AD5" s="1087"/>
      <c r="AG5" s="1087" t="s">
        <v>368</v>
      </c>
      <c r="AH5" s="1087">
        <v>-1.7046845000000001E-2</v>
      </c>
      <c r="AI5" s="1087"/>
      <c r="AJ5" s="1087"/>
      <c r="AK5" s="1087"/>
      <c r="AL5" s="1087"/>
      <c r="AM5" s="1087"/>
      <c r="AN5" s="1087"/>
    </row>
    <row r="6" spans="1:40" ht="14.1" customHeight="1" x14ac:dyDescent="0.3">
      <c r="I6" s="1304" t="s">
        <v>836</v>
      </c>
      <c r="K6" s="1080"/>
      <c r="L6" s="1091" t="str">
        <f>Éqpmt!B49</f>
        <v>bureau Dr Ladouceur</v>
      </c>
      <c r="P6" s="1079" t="s">
        <v>406</v>
      </c>
      <c r="Q6" s="1079"/>
      <c r="Z6" s="1087"/>
      <c r="AC6" s="1087"/>
      <c r="AD6" s="1087"/>
      <c r="AG6" s="1087"/>
      <c r="AH6" s="1087"/>
      <c r="AI6" s="1087"/>
      <c r="AJ6" s="1087"/>
      <c r="AK6" s="1087"/>
      <c r="AL6" s="1087"/>
      <c r="AM6" s="1087"/>
      <c r="AN6" s="1087"/>
    </row>
    <row r="7" spans="1:40" ht="14.1" customHeight="1" x14ac:dyDescent="0.3">
      <c r="A7" s="1817" t="s">
        <v>303</v>
      </c>
      <c r="B7" s="1818"/>
      <c r="C7" s="959"/>
      <c r="D7" s="1823" t="s">
        <v>835</v>
      </c>
      <c r="E7" s="1823"/>
      <c r="F7" s="1823"/>
      <c r="G7" s="1824"/>
      <c r="H7" s="514" t="s">
        <v>291</v>
      </c>
      <c r="I7" s="1124">
        <v>7654</v>
      </c>
      <c r="J7" s="1126" t="s">
        <v>271</v>
      </c>
      <c r="K7" s="1080"/>
      <c r="L7" s="1091" t="str">
        <f>Éqpmt!E49</f>
        <v>bureau Dr Ladouceur</v>
      </c>
      <c r="O7" s="1095"/>
      <c r="P7" s="1079" t="s">
        <v>475</v>
      </c>
      <c r="Q7" s="1095"/>
      <c r="R7" s="1095"/>
      <c r="S7" s="1095"/>
      <c r="X7" s="1087"/>
      <c r="Y7" s="1087"/>
      <c r="Z7" s="1087"/>
      <c r="AA7" s="1087"/>
      <c r="AB7" s="1087"/>
      <c r="AC7" s="1087"/>
      <c r="AD7" s="1087"/>
      <c r="AE7" s="1095" t="s">
        <v>370</v>
      </c>
      <c r="AF7" s="1095"/>
      <c r="AG7" s="1095" t="s">
        <v>371</v>
      </c>
      <c r="AH7" s="1095" t="s">
        <v>372</v>
      </c>
      <c r="AI7" s="1087"/>
      <c r="AJ7" s="1095"/>
      <c r="AK7" s="1095"/>
      <c r="AL7" s="1095"/>
      <c r="AM7" s="1095"/>
      <c r="AN7" s="1095"/>
    </row>
    <row r="8" spans="1:40" ht="14.1" customHeight="1" x14ac:dyDescent="0.3">
      <c r="A8" s="1099" t="s">
        <v>304</v>
      </c>
      <c r="B8" s="1097" t="s">
        <v>409</v>
      </c>
      <c r="C8" s="139" t="s">
        <v>914</v>
      </c>
      <c r="K8" s="1080"/>
      <c r="L8" s="1091" t="str">
        <f>Éqpmt!B57</f>
        <v>technologue</v>
      </c>
      <c r="M8" s="1075" t="str">
        <f>H7</f>
        <v>Droit</v>
      </c>
      <c r="O8" s="1098"/>
      <c r="P8" s="1122"/>
      <c r="Q8" s="1095"/>
      <c r="R8" s="1098"/>
      <c r="S8" s="1098"/>
      <c r="X8" s="1095" t="s">
        <v>374</v>
      </c>
      <c r="Y8" s="1095" t="s">
        <v>375</v>
      </c>
      <c r="Z8" s="1095"/>
      <c r="AA8" s="1095" t="s">
        <v>376</v>
      </c>
      <c r="AB8" s="1095" t="s">
        <v>377</v>
      </c>
      <c r="AC8" s="1095" t="s">
        <v>378</v>
      </c>
      <c r="AD8" s="1087"/>
      <c r="AE8" s="1095" t="s">
        <v>379</v>
      </c>
      <c r="AF8" s="1095" t="s">
        <v>380</v>
      </c>
      <c r="AG8" s="1095" t="s">
        <v>376</v>
      </c>
      <c r="AH8" s="1095" t="s">
        <v>377</v>
      </c>
      <c r="AI8" s="1087"/>
      <c r="AJ8" s="1098"/>
      <c r="AK8" s="1098"/>
      <c r="AL8" s="1095"/>
      <c r="AM8" s="1098"/>
      <c r="AN8" s="1098"/>
    </row>
    <row r="9" spans="1:40" ht="14.1" customHeight="1" x14ac:dyDescent="0.3">
      <c r="A9" s="1129">
        <v>1</v>
      </c>
      <c r="B9" s="1156">
        <v>1</v>
      </c>
      <c r="C9" s="1278"/>
      <c r="K9" s="1320">
        <f>B9+0.2</f>
        <v>1.2</v>
      </c>
      <c r="L9" s="1091" t="str">
        <f>Éqpmt!E57</f>
        <v>appareil</v>
      </c>
      <c r="M9" s="351" t="s">
        <v>407</v>
      </c>
      <c r="N9" s="351" t="s">
        <v>408</v>
      </c>
      <c r="O9" s="352" t="s">
        <v>381</v>
      </c>
      <c r="P9" s="352" t="s">
        <v>382</v>
      </c>
      <c r="Q9" s="351"/>
      <c r="R9" s="352" t="s">
        <v>383</v>
      </c>
      <c r="S9" s="352" t="s">
        <v>384</v>
      </c>
      <c r="T9" s="353" t="s">
        <v>410</v>
      </c>
      <c r="U9" s="354" t="s">
        <v>411</v>
      </c>
      <c r="V9" s="1099"/>
      <c r="X9" s="1092">
        <f>AH9</f>
        <v>71.498068000000004</v>
      </c>
      <c r="Y9" s="1100">
        <f>10^((Y1+Y3*LN(X9)+Y5*LN(X9)^2+AA2*LN(X9)^3+ AA5*LN(X9)^4)/(1+Y2*LN(X9)+Y4*LN(X9)^2+AA1*LN(X9)^3+AA3*LN(X9)^4+AA4*LN(X9)^5))</f>
        <v>1.0000485103406374</v>
      </c>
      <c r="Z9" s="1087"/>
      <c r="AA9" s="1100">
        <f>B9</f>
        <v>1</v>
      </c>
      <c r="AB9" s="1092">
        <f>AF1+AF2*LOG10(AA9)+AF3*LOG10(AA9)^2+AF4*LOG10(AA9)^3+AH1*LOG10(AA9)^4+AH2*LOG(AA9)^5+AH3*LOG10(AA9)^6+AH4*LOG10(AA9)^7+AH5*LOG10(AA9)^8</f>
        <v>71.498068000000004</v>
      </c>
      <c r="AC9" s="1087"/>
      <c r="AD9" s="1087"/>
      <c r="AE9" s="1087">
        <v>1</v>
      </c>
      <c r="AF9" s="1087">
        <v>0</v>
      </c>
      <c r="AG9" s="1100">
        <f>AA9</f>
        <v>1</v>
      </c>
      <c r="AH9" s="1101">
        <f>AB9</f>
        <v>71.498068000000004</v>
      </c>
      <c r="AI9" s="1087"/>
      <c r="AJ9" s="1087"/>
      <c r="AK9" s="1087"/>
      <c r="AL9" s="1087"/>
      <c r="AM9" s="1087"/>
      <c r="AN9" s="1087"/>
    </row>
    <row r="10" spans="1:40" ht="14.1" customHeight="1" x14ac:dyDescent="0.3">
      <c r="A10" s="1129">
        <v>2</v>
      </c>
      <c r="B10" s="1156">
        <v>1.67</v>
      </c>
      <c r="C10" s="1278">
        <f>W10</f>
        <v>-0.32509444046932778</v>
      </c>
      <c r="K10" s="1080"/>
      <c r="L10" s="1102" t="s">
        <v>179</v>
      </c>
      <c r="M10" s="1103">
        <f>AF10</f>
        <v>240</v>
      </c>
      <c r="N10" s="1104">
        <f>AC10</f>
        <v>0.50187265917602997</v>
      </c>
      <c r="O10" s="1105">
        <f t="shared" ref="O10:O26" si="0">Q10*1.2</f>
        <v>0.89234291006587241</v>
      </c>
      <c r="P10" s="1105">
        <f t="shared" ref="P10:P26" si="1">Q10*1.1</f>
        <v>0.8179810008937165</v>
      </c>
      <c r="Q10" s="1106">
        <f>2*($AG10-$AG9)/($AG10+$AG9)</f>
        <v>0.74361909172156038</v>
      </c>
      <c r="R10" s="1105">
        <f t="shared" ref="R10:R26" si="2">Q10*0.9</f>
        <v>0.66925718254940436</v>
      </c>
      <c r="S10" s="1105">
        <f t="shared" ref="S10:S26" si="3">Q10*0.8</f>
        <v>0.59489527337724835</v>
      </c>
      <c r="T10" s="1107">
        <f>IF(AND(N10&lt;=P10,N10&gt;=R10),0,1)</f>
        <v>1</v>
      </c>
      <c r="U10" s="355">
        <f>IF(AND(N10&lt;=O10,N10&gt;=S10),0,1)</f>
        <v>1</v>
      </c>
      <c r="V10" s="1099">
        <f>IF(AND(N10&lt;=P10,N10&gt;=R10),1,0)</f>
        <v>0</v>
      </c>
      <c r="W10" s="1279">
        <f>($N10-$Q10)/$Q10</f>
        <v>-0.32509444046932778</v>
      </c>
      <c r="X10" s="1092">
        <f t="shared" ref="X10:X26" si="4">AH10</f>
        <v>108.81813710384702</v>
      </c>
      <c r="Y10" s="1100">
        <f>10^((Y1+Y3*LN(X10)+Y5*LN(X10)^2+AA2*LN(X10)^3+ AA5*LN(X10)^4)/(1+Y2*LN(X10)+Y4*LN(X10)^2+AA1*LN(X10)^3+AA3*LN(X10)^4+AA4*LN(X10)^5))</f>
        <v>2.1837478376530046</v>
      </c>
      <c r="Z10" s="1087"/>
      <c r="AA10" s="1100">
        <f t="shared" ref="AA10:AA26" si="5">B10</f>
        <v>1.67</v>
      </c>
      <c r="AB10" s="1092"/>
      <c r="AC10" s="1092">
        <f>(AA10-AA9)*2/(AA10+AA9)</f>
        <v>0.50187265917602997</v>
      </c>
      <c r="AD10" s="1087"/>
      <c r="AE10" s="1087">
        <v>2</v>
      </c>
      <c r="AF10" s="1087">
        <v>240</v>
      </c>
      <c r="AG10" s="1100">
        <f>Y10</f>
        <v>2.1837478376530046</v>
      </c>
      <c r="AH10" s="1092">
        <f>AL2*AF10+AH9</f>
        <v>108.81813710384702</v>
      </c>
      <c r="AI10" s="1087"/>
      <c r="AJ10" s="1092"/>
      <c r="AK10" s="1092"/>
      <c r="AL10" s="1092"/>
      <c r="AM10" s="1092"/>
      <c r="AN10" s="1092"/>
    </row>
    <row r="11" spans="1:40" ht="14.1" customHeight="1" x14ac:dyDescent="0.3">
      <c r="A11" s="1129">
        <v>3</v>
      </c>
      <c r="B11" s="1156">
        <v>3.37</v>
      </c>
      <c r="C11" s="1278">
        <f t="shared" ref="C11:C26" si="6">W11</f>
        <v>0.13793462267653153</v>
      </c>
      <c r="K11" s="1080"/>
      <c r="L11" s="1102" t="s">
        <v>180</v>
      </c>
      <c r="M11" s="1103">
        <f t="shared" ref="M11:M26" si="7">AF11</f>
        <v>480</v>
      </c>
      <c r="N11" s="1104">
        <f t="shared" ref="N11:N26" si="8">AC11</f>
        <v>0.67460317460317465</v>
      </c>
      <c r="O11" s="1105">
        <f t="shared" si="0"/>
        <v>0.71139746817768124</v>
      </c>
      <c r="P11" s="1105">
        <f t="shared" si="1"/>
        <v>0.6521143458295412</v>
      </c>
      <c r="Q11" s="1106">
        <f t="shared" ref="Q11:Q26" si="9">2*($AG11-$AG10)/($AG11+$AG10)</f>
        <v>0.59283122348140105</v>
      </c>
      <c r="R11" s="1105">
        <f t="shared" si="2"/>
        <v>0.53354810113326101</v>
      </c>
      <c r="S11" s="1105">
        <f t="shared" si="3"/>
        <v>0.47426497878512086</v>
      </c>
      <c r="T11" s="1107">
        <f t="shared" ref="T11:T26" si="10">IF(AND(N11&lt;=P11,N11&gt;=R11),0,1)</f>
        <v>1</v>
      </c>
      <c r="U11" s="355">
        <f t="shared" ref="U11:U26" si="11">IF(AND(N11&lt;=O11,N11&gt;=S11),0,1)</f>
        <v>0</v>
      </c>
      <c r="V11" s="1099">
        <f t="shared" ref="V11:V26" si="12">IF(AND(N11&lt;=P11,N11&gt;=R11),1,0)</f>
        <v>0</v>
      </c>
      <c r="W11" s="1279">
        <f t="shared" ref="W11:W26" si="13">($N11-$Q11)/$Q11</f>
        <v>0.13793462267653153</v>
      </c>
      <c r="X11" s="1092">
        <f t="shared" si="4"/>
        <v>146.13820620769403</v>
      </c>
      <c r="Y11" s="1100">
        <f>10^((Y1+Y3*LN(X11)+Y5*LN(X11)^2+AA2*LN(X11)^3+ AA5*LN(X11)^4)/(1+Y2*LN(X11)+Y4*LN(X11)^2+AA1*LN(X11)^3+AA3*LN(X11)^4+AA4*LN(X11)^5))</f>
        <v>4.0237458876006169</v>
      </c>
      <c r="Z11" s="1087"/>
      <c r="AA11" s="1100">
        <f t="shared" si="5"/>
        <v>3.37</v>
      </c>
      <c r="AB11" s="1092"/>
      <c r="AC11" s="1092">
        <f t="shared" ref="AC11:AC26" si="14">(AA11-AA10)*2/(AA11+AA10)</f>
        <v>0.67460317460317465</v>
      </c>
      <c r="AD11" s="1087"/>
      <c r="AE11" s="1087">
        <v>3</v>
      </c>
      <c r="AF11" s="1087">
        <v>480</v>
      </c>
      <c r="AG11" s="1100">
        <f t="shared" ref="AG11:AG25" si="15">Y11</f>
        <v>4.0237458876006169</v>
      </c>
      <c r="AH11" s="1092">
        <f>AL2*AF11+AH9</f>
        <v>146.13820620769403</v>
      </c>
      <c r="AI11" s="1087"/>
      <c r="AJ11" s="1092"/>
      <c r="AK11" s="1092"/>
      <c r="AL11" s="1092"/>
      <c r="AM11" s="1092"/>
      <c r="AN11" s="1092"/>
    </row>
    <row r="12" spans="1:40" ht="14.1" customHeight="1" x14ac:dyDescent="0.3">
      <c r="A12" s="1129">
        <v>4</v>
      </c>
      <c r="B12" s="1156">
        <v>5.97</v>
      </c>
      <c r="C12" s="1278">
        <f t="shared" si="6"/>
        <v>0.11437648482176349</v>
      </c>
      <c r="K12" s="1080"/>
      <c r="L12" s="1102" t="s">
        <v>181</v>
      </c>
      <c r="M12" s="1103">
        <f t="shared" si="7"/>
        <v>720</v>
      </c>
      <c r="N12" s="1104">
        <f t="shared" si="8"/>
        <v>0.55674518201284795</v>
      </c>
      <c r="O12" s="1105">
        <f t="shared" si="0"/>
        <v>0.59952289689805716</v>
      </c>
      <c r="P12" s="1105">
        <f t="shared" si="1"/>
        <v>0.54956265548988581</v>
      </c>
      <c r="Q12" s="1106">
        <f t="shared" si="9"/>
        <v>0.49960241408171435</v>
      </c>
      <c r="R12" s="1105">
        <f t="shared" si="2"/>
        <v>0.44964217267354295</v>
      </c>
      <c r="S12" s="1105">
        <f t="shared" si="3"/>
        <v>0.39968193126537149</v>
      </c>
      <c r="T12" s="1107">
        <f t="shared" si="10"/>
        <v>1</v>
      </c>
      <c r="U12" s="355">
        <f t="shared" si="11"/>
        <v>0</v>
      </c>
      <c r="V12" s="1099">
        <f t="shared" si="12"/>
        <v>0</v>
      </c>
      <c r="W12" s="1279">
        <f t="shared" si="13"/>
        <v>0.11437648482176349</v>
      </c>
      <c r="X12" s="1092">
        <f t="shared" si="4"/>
        <v>183.45827531154106</v>
      </c>
      <c r="Y12" s="1100">
        <f>10^((Y1+Y3*LN(X12)+Y5*LN(X12)^2+AA2*LN(X12)^3+ AA5*LN(X12)^4)/(1+Y2*LN(X12)+Y4*LN(X12)^2+AA1*LN(X12)^3+AA3*LN(X12)^4+AA4*LN(X12)^5))</f>
        <v>6.7033998379451116</v>
      </c>
      <c r="Z12" s="1087"/>
      <c r="AA12" s="1100">
        <f t="shared" si="5"/>
        <v>5.97</v>
      </c>
      <c r="AB12" s="1092"/>
      <c r="AC12" s="1092">
        <f t="shared" si="14"/>
        <v>0.55674518201284795</v>
      </c>
      <c r="AD12" s="1087"/>
      <c r="AE12" s="1087">
        <v>4</v>
      </c>
      <c r="AF12" s="1087">
        <v>720</v>
      </c>
      <c r="AG12" s="1100">
        <f t="shared" si="15"/>
        <v>6.7033998379451116</v>
      </c>
      <c r="AH12" s="1092">
        <f>AL2*AF12+AH9</f>
        <v>183.45827531154106</v>
      </c>
      <c r="AI12" s="1087"/>
      <c r="AJ12" s="1092"/>
      <c r="AK12" s="1092"/>
      <c r="AL12" s="1092"/>
      <c r="AM12" s="1092"/>
      <c r="AN12" s="1092"/>
    </row>
    <row r="13" spans="1:40" ht="14.1" customHeight="1" x14ac:dyDescent="0.3">
      <c r="A13" s="1129">
        <v>5</v>
      </c>
      <c r="B13" s="1156">
        <v>9.42</v>
      </c>
      <c r="C13" s="1278">
        <f t="shared" si="6"/>
        <v>2.5511507855507969E-2</v>
      </c>
      <c r="K13" s="1080"/>
      <c r="L13" s="1102" t="s">
        <v>182</v>
      </c>
      <c r="M13" s="1103">
        <f t="shared" si="7"/>
        <v>960</v>
      </c>
      <c r="N13" s="1104">
        <f t="shared" si="8"/>
        <v>0.44834307992202732</v>
      </c>
      <c r="O13" s="1105">
        <f t="shared" si="0"/>
        <v>0.5246276534053651</v>
      </c>
      <c r="P13" s="1105">
        <f t="shared" si="1"/>
        <v>0.4809086822882514</v>
      </c>
      <c r="Q13" s="1106">
        <f t="shared" si="9"/>
        <v>0.43718971117113758</v>
      </c>
      <c r="R13" s="1105">
        <f t="shared" si="2"/>
        <v>0.39347074005402383</v>
      </c>
      <c r="S13" s="1105">
        <f t="shared" si="3"/>
        <v>0.34975176893691007</v>
      </c>
      <c r="T13" s="1107">
        <f t="shared" si="10"/>
        <v>0</v>
      </c>
      <c r="U13" s="355">
        <f t="shared" si="11"/>
        <v>0</v>
      </c>
      <c r="V13" s="1099">
        <f t="shared" si="12"/>
        <v>1</v>
      </c>
      <c r="W13" s="1279">
        <f t="shared" si="13"/>
        <v>2.5511507855507969E-2</v>
      </c>
      <c r="X13" s="1092">
        <f t="shared" si="4"/>
        <v>220.77834441538806</v>
      </c>
      <c r="Y13" s="1100">
        <f>10^((Y1+Y3*LN(X13)+Y5*LN(X13)^2+AA2*LN(X13)^3+ AA5*LN(X13)^4)/(1+Y2*LN(X13)+Y4*LN(X13)^2+AA1*LN(X13)^3+AA3*LN(X13)^4+AA4*LN(X13)^5))</f>
        <v>10.453896568053086</v>
      </c>
      <c r="Z13" s="1087"/>
      <c r="AA13" s="1100">
        <f t="shared" si="5"/>
        <v>9.42</v>
      </c>
      <c r="AB13" s="1092"/>
      <c r="AC13" s="1092">
        <f t="shared" si="14"/>
        <v>0.44834307992202732</v>
      </c>
      <c r="AD13" s="1087"/>
      <c r="AE13" s="1087">
        <v>5</v>
      </c>
      <c r="AF13" s="1087">
        <v>960</v>
      </c>
      <c r="AG13" s="1100">
        <f t="shared" si="15"/>
        <v>10.453896568053086</v>
      </c>
      <c r="AH13" s="1092">
        <f>AL2*AF13+AH9</f>
        <v>220.77834441538806</v>
      </c>
      <c r="AI13" s="1087"/>
      <c r="AJ13" s="1092"/>
      <c r="AK13" s="1092"/>
      <c r="AL13" s="1092"/>
      <c r="AM13" s="1092"/>
      <c r="AN13" s="1092"/>
    </row>
    <row r="14" spans="1:40" ht="14.1" customHeight="1" x14ac:dyDescent="0.3">
      <c r="A14" s="1129">
        <v>6</v>
      </c>
      <c r="B14" s="1156">
        <v>14.9</v>
      </c>
      <c r="C14" s="1278">
        <f t="shared" si="6"/>
        <v>0.14652849258327127</v>
      </c>
      <c r="K14" s="1080"/>
      <c r="L14" s="1102" t="s">
        <v>183</v>
      </c>
      <c r="M14" s="1103">
        <f t="shared" si="7"/>
        <v>1200</v>
      </c>
      <c r="N14" s="1104">
        <f t="shared" si="8"/>
        <v>0.45065789473684215</v>
      </c>
      <c r="O14" s="1105">
        <f t="shared" si="0"/>
        <v>0.4716755642642117</v>
      </c>
      <c r="P14" s="1105">
        <f t="shared" si="1"/>
        <v>0.4323692672421941</v>
      </c>
      <c r="Q14" s="1106">
        <f t="shared" si="9"/>
        <v>0.39306297022017644</v>
      </c>
      <c r="R14" s="1105">
        <f t="shared" si="2"/>
        <v>0.35375667319815879</v>
      </c>
      <c r="S14" s="1105">
        <f t="shared" si="3"/>
        <v>0.31445037617614119</v>
      </c>
      <c r="T14" s="1107">
        <f t="shared" si="10"/>
        <v>1</v>
      </c>
      <c r="U14" s="355">
        <f t="shared" si="11"/>
        <v>0</v>
      </c>
      <c r="V14" s="1099">
        <f t="shared" si="12"/>
        <v>0</v>
      </c>
      <c r="W14" s="1279">
        <f t="shared" si="13"/>
        <v>0.14652849258327127</v>
      </c>
      <c r="X14" s="1092">
        <f t="shared" si="4"/>
        <v>258.09841351923507</v>
      </c>
      <c r="Y14" s="1100">
        <f>10^((Y1+Y3*LN(X14)+Y5*LN(X14)^2+AA2*LN(X14)^3+ AA5*LN(X14)^4)/(1+Y2*LN(X14)+Y4*LN(X14)^2+AA1*LN(X14)^3+AA3*LN(X14)^4+AA4*LN(X14)^5))</f>
        <v>15.568023082365174</v>
      </c>
      <c r="Z14" s="1087"/>
      <c r="AA14" s="1100">
        <f t="shared" si="5"/>
        <v>14.9</v>
      </c>
      <c r="AB14" s="1092"/>
      <c r="AC14" s="1092">
        <f t="shared" si="14"/>
        <v>0.45065789473684215</v>
      </c>
      <c r="AD14" s="1087"/>
      <c r="AE14" s="1087">
        <v>6</v>
      </c>
      <c r="AF14" s="1087">
        <v>1200</v>
      </c>
      <c r="AG14" s="1100">
        <f t="shared" si="15"/>
        <v>15.568023082365174</v>
      </c>
      <c r="AH14" s="1092">
        <f>AL2*AF14+AH9</f>
        <v>258.09841351923507</v>
      </c>
      <c r="AI14" s="1087"/>
      <c r="AJ14" s="1092"/>
      <c r="AK14" s="1092"/>
      <c r="AL14" s="1092"/>
      <c r="AM14" s="1092"/>
      <c r="AN14" s="1092"/>
    </row>
    <row r="15" spans="1:40" ht="14.1" customHeight="1" x14ac:dyDescent="0.3">
      <c r="A15" s="1129">
        <v>7</v>
      </c>
      <c r="B15" s="1156">
        <v>22</v>
      </c>
      <c r="C15" s="1278">
        <f t="shared" si="6"/>
        <v>6.714936833918457E-2</v>
      </c>
      <c r="K15" s="1080"/>
      <c r="L15" s="1102" t="s">
        <v>184</v>
      </c>
      <c r="M15" s="1103">
        <f t="shared" si="7"/>
        <v>1440</v>
      </c>
      <c r="N15" s="1104">
        <f t="shared" si="8"/>
        <v>0.38482384823848237</v>
      </c>
      <c r="O15" s="1105">
        <f t="shared" si="0"/>
        <v>0.43273100428749273</v>
      </c>
      <c r="P15" s="1105">
        <f t="shared" si="1"/>
        <v>0.39667008726353503</v>
      </c>
      <c r="Q15" s="1106">
        <f t="shared" si="9"/>
        <v>0.36060917023957728</v>
      </c>
      <c r="R15" s="1105">
        <f t="shared" si="2"/>
        <v>0.32454825321561959</v>
      </c>
      <c r="S15" s="1105">
        <f t="shared" si="3"/>
        <v>0.28848733619166184</v>
      </c>
      <c r="T15" s="1107">
        <f t="shared" si="10"/>
        <v>0</v>
      </c>
      <c r="U15" s="355">
        <f t="shared" si="11"/>
        <v>0</v>
      </c>
      <c r="V15" s="1099">
        <f t="shared" si="12"/>
        <v>1</v>
      </c>
      <c r="W15" s="1279">
        <f t="shared" si="13"/>
        <v>6.714936833918457E-2</v>
      </c>
      <c r="X15" s="1092">
        <f t="shared" si="4"/>
        <v>295.41848262308207</v>
      </c>
      <c r="Y15" s="1100">
        <f>10^((Y1+Y3*LN(X15)+Y5*LN(X15)^2+AA2*LN(X15)^3+ AA5*LN(X15)^4)/(1+Y2*LN(X15)+Y4*LN(X15)^2+AA1*LN(X15)^3+AA3*LN(X15)^4+AA4*LN(X15)^5))</f>
        <v>22.416874233768414</v>
      </c>
      <c r="Z15" s="1087"/>
      <c r="AA15" s="1100">
        <f t="shared" si="5"/>
        <v>22</v>
      </c>
      <c r="AB15" s="1092"/>
      <c r="AC15" s="1092">
        <f t="shared" si="14"/>
        <v>0.38482384823848237</v>
      </c>
      <c r="AD15" s="1087"/>
      <c r="AE15" s="1087">
        <v>7</v>
      </c>
      <c r="AF15" s="1087">
        <v>1440</v>
      </c>
      <c r="AG15" s="1100">
        <f t="shared" si="15"/>
        <v>22.416874233768414</v>
      </c>
      <c r="AH15" s="1092">
        <f>AL2*AF15+AH9</f>
        <v>295.41848262308207</v>
      </c>
      <c r="AI15" s="1087"/>
      <c r="AJ15" s="1092"/>
      <c r="AK15" s="1092"/>
      <c r="AL15" s="1092"/>
      <c r="AM15" s="1092"/>
      <c r="AN15" s="1092"/>
    </row>
    <row r="16" spans="1:40" ht="14.1" customHeight="1" x14ac:dyDescent="0.3">
      <c r="A16" s="1129">
        <v>8</v>
      </c>
      <c r="B16" s="1156">
        <v>30</v>
      </c>
      <c r="C16" s="1278">
        <f t="shared" si="6"/>
        <v>-8.4321765144647176E-2</v>
      </c>
      <c r="K16" s="1080"/>
      <c r="L16" s="1102" t="s">
        <v>185</v>
      </c>
      <c r="M16" s="1103">
        <f t="shared" si="7"/>
        <v>1680</v>
      </c>
      <c r="N16" s="1104">
        <f t="shared" si="8"/>
        <v>0.30769230769230771</v>
      </c>
      <c r="O16" s="1105">
        <f t="shared" si="0"/>
        <v>0.40323200353134486</v>
      </c>
      <c r="P16" s="1105">
        <f t="shared" si="1"/>
        <v>0.36962933657039948</v>
      </c>
      <c r="Q16" s="1106">
        <f t="shared" si="9"/>
        <v>0.33602666960945404</v>
      </c>
      <c r="R16" s="1105">
        <f t="shared" si="2"/>
        <v>0.30242400264850866</v>
      </c>
      <c r="S16" s="1105">
        <f t="shared" si="3"/>
        <v>0.26882133568756322</v>
      </c>
      <c r="T16" s="1107">
        <f t="shared" si="10"/>
        <v>0</v>
      </c>
      <c r="U16" s="355">
        <f t="shared" si="11"/>
        <v>0</v>
      </c>
      <c r="V16" s="1099">
        <f t="shared" si="12"/>
        <v>1</v>
      </c>
      <c r="W16" s="1279">
        <f t="shared" si="13"/>
        <v>-8.4321765144647176E-2</v>
      </c>
      <c r="X16" s="1092">
        <f t="shared" si="4"/>
        <v>332.73855172692907</v>
      </c>
      <c r="Y16" s="1100">
        <f>10^((Y1+Y3*LN(X16)+Y5*LN(X16)^2+AA2*LN(X16)^3+ AA5*LN(X16)^4)/(1+Y2*LN(X16)+Y4*LN(X16)^2+AA1*LN(X16)^3+AA3*LN(X16)^4+AA4*LN(X16)^5))</f>
        <v>31.470706352651248</v>
      </c>
      <c r="Z16" s="1087"/>
      <c r="AA16" s="1100">
        <f t="shared" si="5"/>
        <v>30</v>
      </c>
      <c r="AB16" s="1092"/>
      <c r="AC16" s="1092">
        <f t="shared" si="14"/>
        <v>0.30769230769230771</v>
      </c>
      <c r="AD16" s="1087"/>
      <c r="AE16" s="1087">
        <v>8</v>
      </c>
      <c r="AF16" s="1087">
        <v>1680</v>
      </c>
      <c r="AG16" s="1100">
        <f t="shared" si="15"/>
        <v>31.470706352651248</v>
      </c>
      <c r="AH16" s="1092">
        <f>AL2*AF16+AH9</f>
        <v>332.73855172692907</v>
      </c>
      <c r="AI16" s="1087"/>
      <c r="AJ16" s="1092"/>
      <c r="AK16" s="1092"/>
      <c r="AL16" s="1092"/>
      <c r="AM16" s="1092"/>
      <c r="AN16" s="1092"/>
    </row>
    <row r="17" spans="1:40" ht="14.1" customHeight="1" x14ac:dyDescent="0.3">
      <c r="A17" s="1129">
        <v>9</v>
      </c>
      <c r="B17" s="1156">
        <v>44</v>
      </c>
      <c r="C17" s="1278">
        <f t="shared" si="6"/>
        <v>0.19368569634538951</v>
      </c>
      <c r="K17" s="1080"/>
      <c r="L17" s="356" t="s">
        <v>186</v>
      </c>
      <c r="M17" s="1103">
        <f t="shared" si="7"/>
        <v>1920</v>
      </c>
      <c r="N17" s="1104">
        <f t="shared" si="8"/>
        <v>0.3783783783783784</v>
      </c>
      <c r="O17" s="1105">
        <f t="shared" si="0"/>
        <v>0.38037990690865647</v>
      </c>
      <c r="P17" s="1105">
        <f t="shared" si="1"/>
        <v>0.34868158133293514</v>
      </c>
      <c r="Q17" s="1106">
        <f t="shared" si="9"/>
        <v>0.31698325575721376</v>
      </c>
      <c r="R17" s="1105">
        <f t="shared" si="2"/>
        <v>0.28528493018149237</v>
      </c>
      <c r="S17" s="1105">
        <f t="shared" si="3"/>
        <v>0.25358660460577104</v>
      </c>
      <c r="T17" s="1107">
        <f t="shared" si="10"/>
        <v>1</v>
      </c>
      <c r="U17" s="355">
        <f t="shared" si="11"/>
        <v>0</v>
      </c>
      <c r="V17" s="1099">
        <f t="shared" si="12"/>
        <v>0</v>
      </c>
      <c r="W17" s="1279">
        <f t="shared" si="13"/>
        <v>0.19368569634538951</v>
      </c>
      <c r="X17" s="1092">
        <f t="shared" si="4"/>
        <v>370.05862083077608</v>
      </c>
      <c r="Y17" s="1100">
        <f>10^((Y1+Y3*LN(X17)+Y5*LN(X17)^2+AA2*LN(X17)^3+ AA5*LN(X17)^4)/(1+Y2*LN(X17)+Y4*LN(X17)^2+AA1*LN(X17)^3+AA3*LN(X17)^4+AA4*LN(X17)^5))</f>
        <v>43.325237205974197</v>
      </c>
      <c r="Z17" s="1087"/>
      <c r="AA17" s="1100">
        <f t="shared" si="5"/>
        <v>44</v>
      </c>
      <c r="AB17" s="1092"/>
      <c r="AC17" s="1092">
        <f t="shared" si="14"/>
        <v>0.3783783783783784</v>
      </c>
      <c r="AD17" s="1087"/>
      <c r="AE17" s="1087">
        <v>9</v>
      </c>
      <c r="AF17" s="1087">
        <v>1920</v>
      </c>
      <c r="AG17" s="1100">
        <f t="shared" si="15"/>
        <v>43.325237205974197</v>
      </c>
      <c r="AH17" s="1092">
        <f>AL2*AF17+AH9</f>
        <v>370.05862083077608</v>
      </c>
      <c r="AI17" s="1087"/>
      <c r="AJ17" s="1092"/>
      <c r="AK17" s="1092"/>
      <c r="AL17" s="1092"/>
      <c r="AM17" s="1092"/>
      <c r="AN17" s="1092"/>
    </row>
    <row r="18" spans="1:40" ht="14.1" customHeight="1" x14ac:dyDescent="0.3">
      <c r="A18" s="1129">
        <v>10</v>
      </c>
      <c r="B18" s="1156">
        <v>60</v>
      </c>
      <c r="C18" s="1278">
        <f t="shared" si="6"/>
        <v>1.8939310147332061E-2</v>
      </c>
      <c r="K18" s="1080"/>
      <c r="M18" s="1103">
        <f t="shared" si="7"/>
        <v>2160</v>
      </c>
      <c r="N18" s="1104">
        <f t="shared" si="8"/>
        <v>0.30769230769230771</v>
      </c>
      <c r="O18" s="1105">
        <f t="shared" si="0"/>
        <v>0.36236777357954797</v>
      </c>
      <c r="P18" s="1105">
        <f t="shared" si="1"/>
        <v>0.3321704591145857</v>
      </c>
      <c r="Q18" s="1106">
        <f t="shared" si="9"/>
        <v>0.30197314464962333</v>
      </c>
      <c r="R18" s="1105">
        <f t="shared" si="2"/>
        <v>0.271775830184661</v>
      </c>
      <c r="S18" s="1105">
        <f t="shared" si="3"/>
        <v>0.24157851571969868</v>
      </c>
      <c r="T18" s="1107">
        <f t="shared" si="10"/>
        <v>0</v>
      </c>
      <c r="U18" s="355">
        <f t="shared" si="11"/>
        <v>0</v>
      </c>
      <c r="V18" s="1099">
        <f t="shared" si="12"/>
        <v>1</v>
      </c>
      <c r="W18" s="1279">
        <f t="shared" si="13"/>
        <v>1.8939310147332061E-2</v>
      </c>
      <c r="X18" s="1092">
        <f t="shared" si="4"/>
        <v>407.37868993462308</v>
      </c>
      <c r="Y18" s="1100">
        <f>10^((Y1+Y3*LN(X18)+Y5*LN(X18)^2+AA2*LN(X18)^3+ AA5*LN(X18)^4)/(1+Y2*LN(X18)+Y4*LN(X18)^2+AA1*LN(X18)^3+AA3*LN(X18)^4+AA4*LN(X18)^5))</f>
        <v>58.734955939874062</v>
      </c>
      <c r="Z18" s="1087"/>
      <c r="AA18" s="1100">
        <f t="shared" si="5"/>
        <v>60</v>
      </c>
      <c r="AB18" s="1092"/>
      <c r="AC18" s="1092">
        <f t="shared" si="14"/>
        <v>0.30769230769230771</v>
      </c>
      <c r="AD18" s="1087"/>
      <c r="AE18" s="1087">
        <v>10</v>
      </c>
      <c r="AF18" s="1087">
        <v>2160</v>
      </c>
      <c r="AG18" s="1100">
        <f t="shared" si="15"/>
        <v>58.734955939874062</v>
      </c>
      <c r="AH18" s="1092">
        <f>AL2*AF18+AH9</f>
        <v>407.37868993462308</v>
      </c>
      <c r="AI18" s="1087"/>
      <c r="AJ18" s="1092"/>
      <c r="AK18" s="1092"/>
      <c r="AL18" s="1092"/>
      <c r="AM18" s="1092"/>
      <c r="AN18" s="1092"/>
    </row>
    <row r="19" spans="1:40" ht="14.1" customHeight="1" x14ac:dyDescent="0.3">
      <c r="A19" s="1129">
        <v>11</v>
      </c>
      <c r="B19" s="1156">
        <v>75.8</v>
      </c>
      <c r="C19" s="1278">
        <f t="shared" si="6"/>
        <v>-0.19755635017789322</v>
      </c>
      <c r="K19" s="1080"/>
      <c r="M19" s="1103">
        <f t="shared" si="7"/>
        <v>2400</v>
      </c>
      <c r="N19" s="1104">
        <f t="shared" si="8"/>
        <v>0.23269513991163471</v>
      </c>
      <c r="O19" s="1105">
        <f t="shared" si="0"/>
        <v>0.34797978394603146</v>
      </c>
      <c r="P19" s="1105">
        <f t="shared" si="1"/>
        <v>0.31898146861719551</v>
      </c>
      <c r="Q19" s="1106">
        <f t="shared" si="9"/>
        <v>0.28998315328835955</v>
      </c>
      <c r="R19" s="1105">
        <f t="shared" si="2"/>
        <v>0.2609848379595236</v>
      </c>
      <c r="S19" s="1105">
        <f t="shared" si="3"/>
        <v>0.23198652263068764</v>
      </c>
      <c r="T19" s="1107">
        <f t="shared" si="10"/>
        <v>1</v>
      </c>
      <c r="U19" s="355">
        <f t="shared" si="11"/>
        <v>0</v>
      </c>
      <c r="V19" s="1099">
        <f t="shared" si="12"/>
        <v>0</v>
      </c>
      <c r="W19" s="1279">
        <f t="shared" si="13"/>
        <v>-0.19755635017789322</v>
      </c>
      <c r="X19" s="1092">
        <f t="shared" si="4"/>
        <v>444.69875903847009</v>
      </c>
      <c r="Y19" s="1100">
        <f>10^((Y1+Y3*LN(X19)+Y5*LN(X19)^2+AA2*LN(X19)^3+ AA5*LN(X19)^4)/(1+Y2*LN(X19)+Y4*LN(X19)^2+AA1*LN(X19)^3+AA3*LN(X19)^4+AA4*LN(X19)^5))</f>
        <v>78.655400307951879</v>
      </c>
      <c r="Z19" s="1087"/>
      <c r="AA19" s="1100">
        <f t="shared" si="5"/>
        <v>75.8</v>
      </c>
      <c r="AB19" s="1092"/>
      <c r="AC19" s="1092">
        <f t="shared" si="14"/>
        <v>0.23269513991163471</v>
      </c>
      <c r="AD19" s="1087"/>
      <c r="AE19" s="1087">
        <v>11</v>
      </c>
      <c r="AF19" s="1087">
        <v>2400</v>
      </c>
      <c r="AG19" s="1100">
        <f t="shared" si="15"/>
        <v>78.655400307951879</v>
      </c>
      <c r="AH19" s="1092">
        <f>AL2*AF19+AH9</f>
        <v>444.69875903847009</v>
      </c>
      <c r="AI19" s="1087"/>
      <c r="AJ19" s="1092"/>
      <c r="AK19" s="1092"/>
      <c r="AL19" s="1092"/>
      <c r="AM19" s="1092"/>
      <c r="AN19" s="1092"/>
    </row>
    <row r="20" spans="1:40" ht="14.1" customHeight="1" x14ac:dyDescent="0.3">
      <c r="A20" s="1129">
        <v>12</v>
      </c>
      <c r="B20" s="1156">
        <v>101</v>
      </c>
      <c r="C20" s="1278">
        <f t="shared" si="6"/>
        <v>1.6981172158259106E-2</v>
      </c>
      <c r="K20" s="1080"/>
      <c r="M20" s="1103">
        <f t="shared" si="7"/>
        <v>2640</v>
      </c>
      <c r="N20" s="1104">
        <f t="shared" si="8"/>
        <v>0.28506787330316741</v>
      </c>
      <c r="O20" s="1105">
        <f t="shared" si="0"/>
        <v>0.33636949958260126</v>
      </c>
      <c r="P20" s="1105">
        <f t="shared" si="1"/>
        <v>0.30833870795071788</v>
      </c>
      <c r="Q20" s="1106">
        <f t="shared" si="9"/>
        <v>0.28030791631883439</v>
      </c>
      <c r="R20" s="1105">
        <f t="shared" si="2"/>
        <v>0.25227712468695096</v>
      </c>
      <c r="S20" s="1105">
        <f t="shared" si="3"/>
        <v>0.22424633305506753</v>
      </c>
      <c r="T20" s="1107">
        <f t="shared" si="10"/>
        <v>0</v>
      </c>
      <c r="U20" s="355">
        <f t="shared" si="11"/>
        <v>0</v>
      </c>
      <c r="V20" s="1099">
        <f t="shared" si="12"/>
        <v>1</v>
      </c>
      <c r="W20" s="1279">
        <f t="shared" si="13"/>
        <v>1.6981172158259106E-2</v>
      </c>
      <c r="X20" s="1092">
        <f t="shared" si="4"/>
        <v>482.01882814231709</v>
      </c>
      <c r="Y20" s="1100">
        <f>10^((Y1+Y3*LN(X20)+Y5*LN(X20)^2+AA2*LN(X20)^3+ AA5*LN(X20)^4)/(1+Y2*LN(X20)+Y4*LN(X20)^2+AA1*LN(X20)^3+AA3*LN(X20)^4+AA4*LN(X20)^5))</f>
        <v>104.29688761462194</v>
      </c>
      <c r="Z20" s="1087"/>
      <c r="AA20" s="1100">
        <f t="shared" si="5"/>
        <v>101</v>
      </c>
      <c r="AB20" s="1092"/>
      <c r="AC20" s="1092">
        <f t="shared" si="14"/>
        <v>0.28506787330316741</v>
      </c>
      <c r="AD20" s="1087"/>
      <c r="AE20" s="1087">
        <v>12</v>
      </c>
      <c r="AF20" s="1087">
        <v>2640</v>
      </c>
      <c r="AG20" s="1100">
        <f t="shared" si="15"/>
        <v>104.29688761462194</v>
      </c>
      <c r="AH20" s="1092">
        <f>AL2*AF20+AH9</f>
        <v>482.01882814231709</v>
      </c>
      <c r="AI20" s="1087"/>
      <c r="AJ20" s="1092"/>
      <c r="AK20" s="1092"/>
      <c r="AL20" s="1092"/>
      <c r="AM20" s="1092"/>
      <c r="AN20" s="1092"/>
    </row>
    <row r="21" spans="1:40" ht="14.1" customHeight="1" x14ac:dyDescent="0.3">
      <c r="A21" s="1129">
        <v>13</v>
      </c>
      <c r="B21" s="1156">
        <v>133</v>
      </c>
      <c r="C21" s="1278">
        <f t="shared" si="6"/>
        <v>3.8987148945513438E-3</v>
      </c>
      <c r="K21" s="1080"/>
      <c r="M21" s="1103">
        <f t="shared" si="7"/>
        <v>2880</v>
      </c>
      <c r="N21" s="1104">
        <f t="shared" si="8"/>
        <v>0.27350427350427353</v>
      </c>
      <c r="O21" s="1105">
        <f t="shared" si="0"/>
        <v>0.32693051931997202</v>
      </c>
      <c r="P21" s="1105">
        <f t="shared" si="1"/>
        <v>0.29968630937664109</v>
      </c>
      <c r="Q21" s="1106">
        <f t="shared" si="9"/>
        <v>0.27244209943331005</v>
      </c>
      <c r="R21" s="1105">
        <f t="shared" si="2"/>
        <v>0.24519788948997906</v>
      </c>
      <c r="S21" s="1105">
        <f t="shared" si="3"/>
        <v>0.21795367954664804</v>
      </c>
      <c r="T21" s="1107">
        <f t="shared" si="10"/>
        <v>0</v>
      </c>
      <c r="U21" s="355">
        <f t="shared" si="11"/>
        <v>0</v>
      </c>
      <c r="V21" s="1099">
        <f t="shared" si="12"/>
        <v>1</v>
      </c>
      <c r="W21" s="1279">
        <f t="shared" si="13"/>
        <v>3.8987148945513438E-3</v>
      </c>
      <c r="X21" s="1092">
        <f t="shared" si="4"/>
        <v>519.33889724616415</v>
      </c>
      <c r="Y21" s="1100">
        <f>10^((Y1+Y3*LN(X21)+Y5*LN(X21)^2+AA2*LN(X21)^3+ AA5*LN(X21)^4)/(1+Y2*LN(X21)+Y4*LN(X21)^2+AA1*LN(X21)^3+AA3*LN(X21)^4+AA4*LN(X21)^5))</f>
        <v>137.19287682200732</v>
      </c>
      <c r="Z21" s="1087"/>
      <c r="AA21" s="1100">
        <f t="shared" si="5"/>
        <v>133</v>
      </c>
      <c r="AB21" s="1092"/>
      <c r="AC21" s="1092">
        <f t="shared" si="14"/>
        <v>0.27350427350427353</v>
      </c>
      <c r="AD21" s="1087"/>
      <c r="AE21" s="1087">
        <v>13</v>
      </c>
      <c r="AF21" s="1087">
        <v>2880</v>
      </c>
      <c r="AG21" s="1100">
        <f t="shared" si="15"/>
        <v>137.19287682200732</v>
      </c>
      <c r="AH21" s="1092">
        <f>AL2*AF21+AH9</f>
        <v>519.33889724616415</v>
      </c>
      <c r="AI21" s="1087"/>
      <c r="AJ21" s="1092"/>
      <c r="AK21" s="1092"/>
      <c r="AL21" s="1092"/>
      <c r="AM21" s="1092"/>
      <c r="AN21" s="1092"/>
    </row>
    <row r="22" spans="1:40" ht="14.1" customHeight="1" x14ac:dyDescent="0.3">
      <c r="A22" s="1129">
        <v>14</v>
      </c>
      <c r="B22" s="1156">
        <v>174</v>
      </c>
      <c r="C22" s="1278">
        <f t="shared" si="6"/>
        <v>4.0834542368265768E-3</v>
      </c>
      <c r="K22" s="1080"/>
      <c r="M22" s="1103">
        <f t="shared" si="7"/>
        <v>3120</v>
      </c>
      <c r="N22" s="1104">
        <f t="shared" si="8"/>
        <v>0.26710097719869708</v>
      </c>
      <c r="O22" s="1105">
        <f t="shared" si="0"/>
        <v>0.3192176619243815</v>
      </c>
      <c r="P22" s="1105">
        <f t="shared" si="1"/>
        <v>0.29261619009734974</v>
      </c>
      <c r="Q22" s="1106">
        <f t="shared" si="9"/>
        <v>0.26601471827031792</v>
      </c>
      <c r="R22" s="1105">
        <f t="shared" si="2"/>
        <v>0.23941324644328613</v>
      </c>
      <c r="S22" s="1105">
        <f t="shared" si="3"/>
        <v>0.21281177461625433</v>
      </c>
      <c r="T22" s="1107">
        <f t="shared" si="10"/>
        <v>0</v>
      </c>
      <c r="U22" s="355">
        <f t="shared" si="11"/>
        <v>0</v>
      </c>
      <c r="V22" s="1099">
        <f t="shared" si="12"/>
        <v>1</v>
      </c>
      <c r="W22" s="1279">
        <f t="shared" si="13"/>
        <v>4.0834542368265768E-3</v>
      </c>
      <c r="X22" s="1092">
        <f t="shared" si="4"/>
        <v>556.65896635001116</v>
      </c>
      <c r="Y22" s="1100">
        <f>10^((Y1+Y3*LN(X22)+Y5*LN(X22)^2+AA2*LN(X22)^3+ AA5*LN(X22)^4)/(1+Y2*LN(X22)+Y4*LN(X22)^2+AA1*LN(X22)^3+AA3*LN(X22)^4+AA4*LN(X22)^5))</f>
        <v>179.28703397667007</v>
      </c>
      <c r="Z22" s="1087"/>
      <c r="AA22" s="1100">
        <f t="shared" si="5"/>
        <v>174</v>
      </c>
      <c r="AB22" s="1092"/>
      <c r="AC22" s="1092">
        <f t="shared" si="14"/>
        <v>0.26710097719869708</v>
      </c>
      <c r="AD22" s="1087"/>
      <c r="AE22" s="1087">
        <v>14</v>
      </c>
      <c r="AF22" s="1087">
        <v>3120</v>
      </c>
      <c r="AG22" s="1100">
        <f t="shared" si="15"/>
        <v>179.28703397667007</v>
      </c>
      <c r="AH22" s="1092">
        <f>AL2*AF22+AH9</f>
        <v>556.65896635001116</v>
      </c>
      <c r="AI22" s="1087"/>
      <c r="AJ22" s="1092"/>
      <c r="AK22" s="1092"/>
      <c r="AL22" s="1092"/>
      <c r="AM22" s="1092"/>
      <c r="AN22" s="1092"/>
    </row>
    <row r="23" spans="1:40" ht="14.1" customHeight="1" x14ac:dyDescent="0.3">
      <c r="A23" s="1129">
        <v>15</v>
      </c>
      <c r="B23" s="1156">
        <v>227</v>
      </c>
      <c r="C23" s="1278">
        <f t="shared" si="6"/>
        <v>1.3774031939782598E-2</v>
      </c>
      <c r="F23" s="1819" t="s">
        <v>1028</v>
      </c>
      <c r="G23" s="1819" t="s">
        <v>1029</v>
      </c>
      <c r="H23" s="1819" t="s">
        <v>1102</v>
      </c>
      <c r="I23" s="1820" t="s">
        <v>15</v>
      </c>
      <c r="J23" s="1820"/>
      <c r="K23" s="1080"/>
      <c r="M23" s="1103">
        <f t="shared" si="7"/>
        <v>3360</v>
      </c>
      <c r="N23" s="1104">
        <f t="shared" si="8"/>
        <v>0.26433915211970077</v>
      </c>
      <c r="O23" s="1105">
        <f t="shared" si="0"/>
        <v>0.31289712751537785</v>
      </c>
      <c r="P23" s="1105">
        <f t="shared" si="1"/>
        <v>0.2868223668890964</v>
      </c>
      <c r="Q23" s="1106">
        <f t="shared" si="9"/>
        <v>0.2607476062628149</v>
      </c>
      <c r="R23" s="1105">
        <f t="shared" si="2"/>
        <v>0.23467284563653343</v>
      </c>
      <c r="S23" s="1105">
        <f t="shared" si="3"/>
        <v>0.20859808501025193</v>
      </c>
      <c r="T23" s="1107">
        <f t="shared" si="10"/>
        <v>0</v>
      </c>
      <c r="U23" s="355">
        <f t="shared" si="11"/>
        <v>0</v>
      </c>
      <c r="V23" s="1099">
        <f t="shared" si="12"/>
        <v>1</v>
      </c>
      <c r="W23" s="1279">
        <f t="shared" si="13"/>
        <v>1.3774031939782598E-2</v>
      </c>
      <c r="X23" s="1092">
        <f t="shared" si="4"/>
        <v>593.97903545385816</v>
      </c>
      <c r="Y23" s="1100">
        <f>10^((Y1+Y3*LN(X23)+Y5*LN(X23)^2+AA2*LN(X23)^3+ AA5*LN(X23)^4)/(1+Y2*LN(X23)+Y4*LN(X23)^2+AA1*LN(X23)^3+AA3*LN(X23)^4+AA4*LN(X23)^5))</f>
        <v>233.0442288630619</v>
      </c>
      <c r="Z23" s="1087"/>
      <c r="AA23" s="1100">
        <f t="shared" si="5"/>
        <v>227</v>
      </c>
      <c r="AB23" s="1092"/>
      <c r="AC23" s="1092">
        <f t="shared" si="14"/>
        <v>0.26433915211970077</v>
      </c>
      <c r="AD23" s="1087"/>
      <c r="AE23" s="1087">
        <v>15</v>
      </c>
      <c r="AF23" s="1087">
        <v>3360</v>
      </c>
      <c r="AG23" s="1100">
        <f t="shared" si="15"/>
        <v>233.0442288630619</v>
      </c>
      <c r="AH23" s="1092">
        <f>AL2*AF23+AH9</f>
        <v>593.97903545385816</v>
      </c>
      <c r="AI23" s="1087"/>
      <c r="AJ23" s="1092"/>
      <c r="AK23" s="1092"/>
      <c r="AL23" s="1092"/>
      <c r="AM23" s="1092"/>
      <c r="AN23" s="1092"/>
    </row>
    <row r="24" spans="1:40" ht="14.1" customHeight="1" x14ac:dyDescent="0.3">
      <c r="A24" s="1129">
        <v>16</v>
      </c>
      <c r="B24" s="1156">
        <v>297</v>
      </c>
      <c r="C24" s="1278">
        <f t="shared" si="6"/>
        <v>4.191139167673702E-2</v>
      </c>
      <c r="F24" s="1819"/>
      <c r="G24" s="1819"/>
      <c r="H24" s="1819"/>
      <c r="I24" s="1308" t="s">
        <v>16</v>
      </c>
      <c r="J24" s="1308" t="s">
        <v>17</v>
      </c>
      <c r="K24" s="1080"/>
      <c r="M24" s="1103">
        <f t="shared" si="7"/>
        <v>3600</v>
      </c>
      <c r="N24" s="1104">
        <f t="shared" si="8"/>
        <v>0.26717557251908397</v>
      </c>
      <c r="O24" s="1105">
        <f t="shared" si="0"/>
        <v>0.30771396645058785</v>
      </c>
      <c r="P24" s="1105">
        <f t="shared" si="1"/>
        <v>0.2820711359130389</v>
      </c>
      <c r="Q24" s="1106">
        <f t="shared" si="9"/>
        <v>0.25642830537548988</v>
      </c>
      <c r="R24" s="1105">
        <f t="shared" si="2"/>
        <v>0.2307854748379409</v>
      </c>
      <c r="S24" s="1105">
        <f t="shared" si="3"/>
        <v>0.20514264430039192</v>
      </c>
      <c r="T24" s="1107">
        <f t="shared" si="10"/>
        <v>0</v>
      </c>
      <c r="U24" s="355">
        <f t="shared" si="11"/>
        <v>0</v>
      </c>
      <c r="V24" s="1099">
        <f t="shared" si="12"/>
        <v>1</v>
      </c>
      <c r="W24" s="1279">
        <f t="shared" si="13"/>
        <v>4.191139167673702E-2</v>
      </c>
      <c r="X24" s="1092">
        <f t="shared" si="4"/>
        <v>631.29910455770516</v>
      </c>
      <c r="Y24" s="1100">
        <f>10^((Y1+Y3*LN(X24)+Y5*LN(X24)^2+AA2*LN(X24)^3+ AA5*LN(X24)^4)/(1+Y2*LN(X24)+Y4*LN(X24)^2+AA1*LN(X24)^3+AA3*LN(X24)^4+AA4*LN(X24)^5))</f>
        <v>301.59218346582611</v>
      </c>
      <c r="Z24" s="1087"/>
      <c r="AA24" s="1100">
        <f t="shared" si="5"/>
        <v>297</v>
      </c>
      <c r="AB24" s="1092"/>
      <c r="AC24" s="1092">
        <f t="shared" si="14"/>
        <v>0.26717557251908397</v>
      </c>
      <c r="AD24" s="1087"/>
      <c r="AE24" s="1087">
        <v>16</v>
      </c>
      <c r="AF24" s="1087">
        <v>3600</v>
      </c>
      <c r="AG24" s="1100">
        <f t="shared" si="15"/>
        <v>301.59218346582611</v>
      </c>
      <c r="AH24" s="1092">
        <f>AL2*AF24+AH9</f>
        <v>631.29910455770516</v>
      </c>
      <c r="AI24" s="1087"/>
      <c r="AJ24" s="1092"/>
      <c r="AK24" s="1092"/>
      <c r="AL24" s="1092"/>
      <c r="AM24" s="1092"/>
      <c r="AN24" s="1092"/>
    </row>
    <row r="25" spans="1:40" ht="14.1" customHeight="1" x14ac:dyDescent="0.3">
      <c r="A25" s="1129">
        <v>17</v>
      </c>
      <c r="B25" s="1156">
        <v>384</v>
      </c>
      <c r="C25" s="1278">
        <f t="shared" si="6"/>
        <v>1.0339324728122056E-2</v>
      </c>
      <c r="F25" s="1108">
        <f>B26</f>
        <v>500</v>
      </c>
      <c r="G25" s="1108">
        <f>MIN(B9:B26)</f>
        <v>1</v>
      </c>
      <c r="H25" s="1109">
        <f>(B26+0.2)/(B9+0.2)</f>
        <v>416.83333333333331</v>
      </c>
      <c r="I25" s="1110" t="str">
        <f>IF($J$7=$Q$4, IF(AND($G25&gt;=1,$F25&gt;=420,$H25&gt;=350,$H25&lt;=450),"X",""),IF(AND($G25&gt;=1,$H25&gt;=250,$F25&gt;=250),"X",""))</f>
        <v>X</v>
      </c>
      <c r="J25" s="1110" t="str">
        <f>IF($J$7=$Q$4, IF(AND($G25&gt;=1,$F25&gt;=420,$H25&gt;=350,$H25&lt;=450),"","X"),IF(AND($G25&gt;=1,$H25&gt;=250,$F25&gt;=250),"","X"))</f>
        <v/>
      </c>
      <c r="K25" s="1078"/>
      <c r="M25" s="1103">
        <f t="shared" si="7"/>
        <v>3840</v>
      </c>
      <c r="N25" s="1104">
        <f t="shared" si="8"/>
        <v>0.25550660792951541</v>
      </c>
      <c r="O25" s="1105">
        <f t="shared" si="0"/>
        <v>0.30347025203431072</v>
      </c>
      <c r="P25" s="1105">
        <f t="shared" si="1"/>
        <v>0.27818106436478485</v>
      </c>
      <c r="Q25" s="1106">
        <f t="shared" si="9"/>
        <v>0.25289187669525892</v>
      </c>
      <c r="R25" s="1105">
        <f t="shared" si="2"/>
        <v>0.22760268902573302</v>
      </c>
      <c r="S25" s="1105">
        <f t="shared" si="3"/>
        <v>0.20231350135620715</v>
      </c>
      <c r="T25" s="1107">
        <f t="shared" si="10"/>
        <v>0</v>
      </c>
      <c r="U25" s="355">
        <f t="shared" si="11"/>
        <v>0</v>
      </c>
      <c r="V25" s="1099">
        <f t="shared" si="12"/>
        <v>1</v>
      </c>
      <c r="W25" s="1279">
        <f t="shared" si="13"/>
        <v>1.0339324728122056E-2</v>
      </c>
      <c r="X25" s="1092">
        <f t="shared" si="4"/>
        <v>668.61917366155217</v>
      </c>
      <c r="Y25" s="1100">
        <f>10^((Y1+Y3*LN(X25)+Y5*LN(X25)^2+AA2*LN(X25)^3+ AA5*LN(X25)^4)/(1+Y2*LN(X25)+Y4*LN(X25)^2+AA1*LN(X25)^3+AA3*LN(X25)^4+AA4*LN(X25)^5))</f>
        <v>388.90242174578412</v>
      </c>
      <c r="Z25" s="1087"/>
      <c r="AA25" s="1100">
        <f t="shared" si="5"/>
        <v>384</v>
      </c>
      <c r="AB25" s="1092"/>
      <c r="AC25" s="1092">
        <f t="shared" si="14"/>
        <v>0.25550660792951541</v>
      </c>
      <c r="AD25" s="1087"/>
      <c r="AE25" s="1087">
        <v>17</v>
      </c>
      <c r="AF25" s="1087">
        <v>3840</v>
      </c>
      <c r="AG25" s="1100">
        <f t="shared" si="15"/>
        <v>388.90242174578412</v>
      </c>
      <c r="AH25" s="1092">
        <f>AL2*AF25+AH9</f>
        <v>668.61917366155217</v>
      </c>
      <c r="AI25" s="1087"/>
      <c r="AJ25" s="1092"/>
      <c r="AK25" s="1092"/>
      <c r="AL25" s="1092"/>
      <c r="AM25" s="1092"/>
      <c r="AN25" s="1092"/>
    </row>
    <row r="26" spans="1:40" ht="14.1" customHeight="1" thickBot="1" x14ac:dyDescent="0.35">
      <c r="A26" s="1129">
        <v>18</v>
      </c>
      <c r="B26" s="1156">
        <v>500</v>
      </c>
      <c r="C26" s="1278">
        <f t="shared" si="6"/>
        <v>4.9917613362187932E-2</v>
      </c>
      <c r="F26" s="1821" t="s">
        <v>837</v>
      </c>
      <c r="G26" s="1821"/>
      <c r="H26" s="1821"/>
      <c r="I26" s="1110" t="str">
        <f>IF($J$7=+$Q$4,IF($T27=0,"X",""),IF($U27=0,"X",""))</f>
        <v/>
      </c>
      <c r="J26" s="1110" t="str">
        <f>IF($J$7=+$Q$4,IF($T27=0,"","X"),IF($U27=0,"","X"))</f>
        <v>X</v>
      </c>
      <c r="K26" s="1078"/>
      <c r="M26" s="1103">
        <f t="shared" si="7"/>
        <v>4080</v>
      </c>
      <c r="N26" s="1104">
        <f t="shared" si="8"/>
        <v>0.26244343891402716</v>
      </c>
      <c r="O26" s="1105">
        <f t="shared" si="0"/>
        <v>0.29995889457298885</v>
      </c>
      <c r="P26" s="1105">
        <f t="shared" si="1"/>
        <v>0.27496232002523979</v>
      </c>
      <c r="Q26" s="1106">
        <f t="shared" si="9"/>
        <v>0.2499657454774907</v>
      </c>
      <c r="R26" s="1105">
        <f t="shared" si="2"/>
        <v>0.22496917092974164</v>
      </c>
      <c r="S26" s="1105">
        <f t="shared" si="3"/>
        <v>0.19997259638199258</v>
      </c>
      <c r="T26" s="1107">
        <f t="shared" si="10"/>
        <v>0</v>
      </c>
      <c r="U26" s="355">
        <f t="shared" si="11"/>
        <v>0</v>
      </c>
      <c r="V26" s="1099">
        <f t="shared" si="12"/>
        <v>1</v>
      </c>
      <c r="W26" s="1279">
        <f t="shared" si="13"/>
        <v>4.9917613362187932E-2</v>
      </c>
      <c r="X26" s="1092">
        <f t="shared" si="4"/>
        <v>705.93924276539917</v>
      </c>
      <c r="Y26" s="1100">
        <f>10^((Y1+Y3*LN(X26)+Y5*LN(X26)^2+AA2*LN(X26)^3+ AA5*LN(X26)^4)/(1+Y2*LN(X26)+Y4*LN(X26)^2+AA1*LN(X26)^3+AA3*LN(X26)^4+AA4*LN(X26)^5))</f>
        <v>500.02166501681347</v>
      </c>
      <c r="Z26" s="1087"/>
      <c r="AA26" s="1100">
        <f t="shared" si="5"/>
        <v>500</v>
      </c>
      <c r="AB26" s="1092">
        <f>AF1+AF2*LOG10(AA26)+AF3*LOG10(AA26)^2+AF4*LOG10(AA26)^3+AH1*LOG10(AA26)^4+AH2*LOG(AA26)^5+AH3*LOG10(AA26)^6+AH4*LOG10(AA26)^7+AH5*LOG10(AA26)^8</f>
        <v>705.93924276539917</v>
      </c>
      <c r="AC26" s="1092">
        <f t="shared" si="14"/>
        <v>0.26244343891402716</v>
      </c>
      <c r="AD26" s="1087"/>
      <c r="AE26" s="1087">
        <v>18</v>
      </c>
      <c r="AF26" s="1087">
        <v>4080</v>
      </c>
      <c r="AG26" s="1100">
        <f>AA26</f>
        <v>500</v>
      </c>
      <c r="AH26" s="1101">
        <f>AB26</f>
        <v>705.93924276539917</v>
      </c>
      <c r="AI26" s="1087"/>
      <c r="AJ26" s="1092"/>
      <c r="AK26" s="1092"/>
      <c r="AL26" s="1092"/>
      <c r="AM26" s="1092"/>
      <c r="AN26" s="1092"/>
    </row>
    <row r="27" spans="1:40" ht="14.1" customHeight="1" x14ac:dyDescent="0.3">
      <c r="K27" s="1080"/>
      <c r="M27" s="357"/>
      <c r="N27" s="358"/>
      <c r="O27" s="358"/>
      <c r="P27" s="358"/>
      <c r="Q27" s="358"/>
      <c r="R27" s="358"/>
      <c r="S27" s="358"/>
      <c r="T27" s="1111">
        <f>SUM(T10:T26)</f>
        <v>6</v>
      </c>
      <c r="U27" s="1112">
        <f>SUM(U10:U26)</f>
        <v>1</v>
      </c>
      <c r="X27" s="1087"/>
      <c r="Y27" s="1100"/>
      <c r="Z27" s="1087"/>
      <c r="AA27" s="1087"/>
      <c r="AB27" s="1092"/>
      <c r="AC27" s="1092"/>
      <c r="AD27" s="1087"/>
      <c r="AE27" s="1087"/>
      <c r="AF27" s="1087"/>
      <c r="AG27" s="1100"/>
      <c r="AH27" s="1101"/>
      <c r="AI27" s="1092"/>
      <c r="AJ27" s="1092"/>
      <c r="AK27" s="1092"/>
      <c r="AL27" s="1087"/>
      <c r="AM27" s="1087"/>
      <c r="AN27" s="1087"/>
    </row>
    <row r="28" spans="1:40" ht="14.1" customHeight="1" thickBot="1" x14ac:dyDescent="0.35">
      <c r="I28" s="1304" t="s">
        <v>836</v>
      </c>
      <c r="K28" s="1080"/>
      <c r="X28" s="1087"/>
      <c r="Y28" s="1100"/>
      <c r="Z28" s="1087"/>
      <c r="AA28" s="1087"/>
      <c r="AB28" s="1092"/>
      <c r="AC28" s="1092"/>
      <c r="AD28" s="1087"/>
      <c r="AE28" s="1087"/>
      <c r="AJ28" s="1092"/>
      <c r="AK28" s="1092"/>
      <c r="AL28" s="1087"/>
      <c r="AM28" s="1087"/>
      <c r="AN28" s="1087"/>
    </row>
    <row r="29" spans="1:40" ht="14.1" customHeight="1" x14ac:dyDescent="0.3">
      <c r="A29" s="1812" t="s">
        <v>303</v>
      </c>
      <c r="B29" s="1813"/>
      <c r="C29" s="959"/>
      <c r="D29" s="1823" t="s">
        <v>835</v>
      </c>
      <c r="E29" s="1823"/>
      <c r="F29" s="1823"/>
      <c r="G29" s="1824"/>
      <c r="H29" s="514" t="s">
        <v>290</v>
      </c>
      <c r="I29" s="1124">
        <v>1234</v>
      </c>
      <c r="J29" s="1126" t="s">
        <v>271</v>
      </c>
      <c r="K29" s="1080"/>
      <c r="X29" s="1087"/>
      <c r="Y29" s="1087"/>
      <c r="Z29" s="1087"/>
      <c r="AA29" s="1087"/>
      <c r="AB29" s="1087"/>
      <c r="AC29" s="1087"/>
      <c r="AD29" s="1087"/>
      <c r="AE29" s="1095" t="s">
        <v>370</v>
      </c>
      <c r="AF29" s="1095"/>
      <c r="AG29" s="1095" t="s">
        <v>371</v>
      </c>
      <c r="AH29" s="1095" t="s">
        <v>372</v>
      </c>
      <c r="AI29" s="1087"/>
      <c r="AJ29" s="1095"/>
      <c r="AK29" s="1095"/>
      <c r="AL29" s="1095"/>
      <c r="AM29" s="1095"/>
      <c r="AN29" s="1095"/>
    </row>
    <row r="30" spans="1:40" ht="14.1" customHeight="1" x14ac:dyDescent="0.3">
      <c r="A30" s="1096" t="s">
        <v>304</v>
      </c>
      <c r="B30" s="1306" t="s">
        <v>409</v>
      </c>
      <c r="C30" s="139" t="s">
        <v>914</v>
      </c>
      <c r="K30" s="1080"/>
      <c r="M30" s="1075" t="str">
        <f>H29</f>
        <v>Gauche</v>
      </c>
      <c r="Q30" s="1075" t="s">
        <v>447</v>
      </c>
      <c r="X30" s="1095" t="s">
        <v>374</v>
      </c>
      <c r="Y30" s="1095" t="s">
        <v>375</v>
      </c>
      <c r="Z30" s="1095"/>
      <c r="AA30" s="1095" t="s">
        <v>376</v>
      </c>
      <c r="AB30" s="1095" t="s">
        <v>377</v>
      </c>
      <c r="AC30" s="1095" t="s">
        <v>378</v>
      </c>
      <c r="AD30" s="1087"/>
      <c r="AE30" s="1095" t="s">
        <v>379</v>
      </c>
      <c r="AF30" s="1095" t="s">
        <v>380</v>
      </c>
      <c r="AG30" s="1095" t="s">
        <v>376</v>
      </c>
      <c r="AH30" s="1095" t="s">
        <v>377</v>
      </c>
      <c r="AI30" s="1087"/>
      <c r="AJ30" s="1098"/>
      <c r="AK30" s="1098"/>
      <c r="AL30" s="1095"/>
      <c r="AM30" s="1098"/>
      <c r="AN30" s="1098"/>
    </row>
    <row r="31" spans="1:40" ht="14.1" customHeight="1" x14ac:dyDescent="0.3">
      <c r="A31" s="1280">
        <v>1</v>
      </c>
      <c r="B31" s="1155">
        <v>0.82</v>
      </c>
      <c r="C31" s="1278"/>
      <c r="K31" s="1080"/>
      <c r="M31" s="359" t="s">
        <v>407</v>
      </c>
      <c r="N31" s="351" t="s">
        <v>408</v>
      </c>
      <c r="O31" s="352" t="s">
        <v>381</v>
      </c>
      <c r="P31" s="352" t="s">
        <v>382</v>
      </c>
      <c r="Q31" s="1113" t="s">
        <v>373</v>
      </c>
      <c r="R31" s="352" t="s">
        <v>383</v>
      </c>
      <c r="S31" s="352" t="s">
        <v>384</v>
      </c>
      <c r="T31" s="353" t="s">
        <v>410</v>
      </c>
      <c r="U31" s="354" t="s">
        <v>411</v>
      </c>
      <c r="X31" s="1092">
        <f>AH31</f>
        <v>63.650513471211895</v>
      </c>
      <c r="Y31" s="1100">
        <f>10^((Y50+Y52*LN(X31)+Y57*LN(X31)^2+AA51*LN(X31)^3+ AA57*LN(X31)^4)/(1+Y51*LN(X31)+Y55*LN(X31)^2+AA50*LN(X31)^3+AA52*LN(X31)^4+AA55*LN(X31)^5))</f>
        <v>0.82028608668471747</v>
      </c>
      <c r="Z31" s="1087"/>
      <c r="AA31" s="1100">
        <f>B31</f>
        <v>0.82</v>
      </c>
      <c r="AB31" s="1092">
        <f>AD50+AD51*LOG10(AA31)+AD52*LOG10(AA31)^2+AD55*LOG10(AA31)^3+AF50*LOG10(AA31)^4+AF51*LOG(AA31)^5+AF52*LOG10(AA31)^6+AF55*LOG10(AA31)^7+AF57*LOG10(AA31)^8</f>
        <v>63.650513471211895</v>
      </c>
      <c r="AC31" s="1087"/>
      <c r="AD31" s="1087"/>
      <c r="AE31" s="1087">
        <v>1</v>
      </c>
      <c r="AF31" s="1087">
        <v>0</v>
      </c>
      <c r="AG31" s="1100">
        <f>AA31</f>
        <v>0.82</v>
      </c>
      <c r="AH31" s="1101">
        <f>AB31</f>
        <v>63.650513471211895</v>
      </c>
      <c r="AI31" s="1087"/>
      <c r="AJ31" s="1087"/>
      <c r="AK31" s="1087"/>
      <c r="AL31" s="1087"/>
      <c r="AM31" s="1087"/>
      <c r="AN31" s="1087"/>
    </row>
    <row r="32" spans="1:40" ht="14.1" customHeight="1" x14ac:dyDescent="0.3">
      <c r="A32" s="1280">
        <v>2</v>
      </c>
      <c r="B32" s="1155">
        <v>1.31</v>
      </c>
      <c r="C32" s="1278">
        <f>W32</f>
        <v>-0.41033734132709454</v>
      </c>
      <c r="K32" s="1080"/>
      <c r="M32" s="1103">
        <f t="shared" ref="M32:M48" si="16">AF32</f>
        <v>240</v>
      </c>
      <c r="N32" s="1104">
        <f t="shared" ref="N32:N48" si="17">AC32</f>
        <v>0.46009389671361517</v>
      </c>
      <c r="O32" s="1105">
        <f t="shared" ref="O32:O48" si="18">Q32*1.2</f>
        <v>0.93631955141762369</v>
      </c>
      <c r="P32" s="1105">
        <f t="shared" ref="P32:P48" si="19">Q32*1.1</f>
        <v>0.85829292213282182</v>
      </c>
      <c r="Q32" s="1114">
        <f t="shared" ref="Q32:Q48" si="20">2*($AG32-$AG31)/($AG32+$AG31)</f>
        <v>0.78026629284801974</v>
      </c>
      <c r="R32" s="1105">
        <f t="shared" ref="R32:R48" si="21">Q32*0.9</f>
        <v>0.70223966356321776</v>
      </c>
      <c r="S32" s="1105">
        <f t="shared" ref="S32:S48" si="22">Q32*0.8</f>
        <v>0.62421303427841579</v>
      </c>
      <c r="T32" s="1107">
        <f>IF(AND(N32&lt;=P32,N32&gt;=R32),0,1)</f>
        <v>1</v>
      </c>
      <c r="U32" s="355">
        <f>IF(AND(N32&lt;=O32,N32&gt;=S32),0,1)</f>
        <v>1</v>
      </c>
      <c r="V32" s="1099">
        <f>IF(AND(N32&lt;=P32,N32&gt;=R32),1,0)</f>
        <v>0</v>
      </c>
      <c r="W32" s="1279">
        <f>($N32-$Q32)/$Q32</f>
        <v>-0.41033734132709454</v>
      </c>
      <c r="X32" s="1092">
        <f t="shared" ref="X32:X48" si="23">AH32</f>
        <v>100.50947697744886</v>
      </c>
      <c r="Y32" s="1100">
        <f>10^((Y50+Y52*LN(X32)+Y57*LN(X32)^2+AA51*LN(X32)^3+ AA57*LN(X32)^4)/(1+Y51*LN(X32)+Y55*LN(X32)^2+AA50*LN(X32)^3+AA52*LN(X32)^4+AA55*LN(X32)^5))</f>
        <v>1.8691115501420734</v>
      </c>
      <c r="Z32" s="1087"/>
      <c r="AA32" s="1100">
        <f t="shared" ref="AA32:AA48" si="24">B32</f>
        <v>1.31</v>
      </c>
      <c r="AB32" s="1092"/>
      <c r="AC32" s="1092">
        <f>(AA32-AA31)*2/(AA32+AA31)</f>
        <v>0.46009389671361517</v>
      </c>
      <c r="AD32" s="1087"/>
      <c r="AE32" s="1087">
        <v>2</v>
      </c>
      <c r="AF32" s="1087">
        <v>240</v>
      </c>
      <c r="AG32" s="1100">
        <f>Y32</f>
        <v>1.8691115501420734</v>
      </c>
      <c r="AH32" s="1092">
        <f>AK51*AF32+AH31</f>
        <v>100.50947697744886</v>
      </c>
      <c r="AI32" s="1087"/>
      <c r="AJ32" s="1092"/>
      <c r="AK32" s="1092"/>
      <c r="AL32" s="1092"/>
      <c r="AM32" s="1092"/>
      <c r="AN32" s="1092"/>
    </row>
    <row r="33" spans="1:40" ht="14.1" customHeight="1" x14ac:dyDescent="0.3">
      <c r="A33" s="1280">
        <v>3</v>
      </c>
      <c r="B33" s="1155">
        <v>2.67</v>
      </c>
      <c r="C33" s="1278">
        <f t="shared" ref="C33:C48" si="25">W33</f>
        <v>0.11388690704032017</v>
      </c>
      <c r="K33" s="1080"/>
      <c r="M33" s="1103">
        <f t="shared" si="16"/>
        <v>480</v>
      </c>
      <c r="N33" s="1104">
        <f t="shared" si="17"/>
        <v>0.68341708542713564</v>
      </c>
      <c r="O33" s="1105">
        <f t="shared" si="18"/>
        <v>0.73625113764163941</v>
      </c>
      <c r="P33" s="1105">
        <f t="shared" si="19"/>
        <v>0.67489687617150285</v>
      </c>
      <c r="Q33" s="1114">
        <f t="shared" si="20"/>
        <v>0.61354261470136617</v>
      </c>
      <c r="R33" s="1105">
        <f t="shared" si="21"/>
        <v>0.55218835323122961</v>
      </c>
      <c r="S33" s="1105">
        <f t="shared" si="22"/>
        <v>0.49083409176109294</v>
      </c>
      <c r="T33" s="1107">
        <f t="shared" ref="T33:T48" si="26">IF(AND(N33&lt;=P33,N33&gt;=R33),0,1)</f>
        <v>1</v>
      </c>
      <c r="U33" s="355">
        <f t="shared" ref="U33:U48" si="27">IF(AND(N33&lt;=O33,N33&gt;=S33),0,1)</f>
        <v>0</v>
      </c>
      <c r="V33" s="1099">
        <f t="shared" ref="V33:V48" si="28">IF(AND(N33&lt;=P33,N33&gt;=R33),1,0)</f>
        <v>0</v>
      </c>
      <c r="W33" s="1279">
        <f t="shared" ref="W33:W48" si="29">($N33-$Q33)/$Q33</f>
        <v>0.11388690704032017</v>
      </c>
      <c r="X33" s="1092">
        <f t="shared" si="23"/>
        <v>137.36844048368579</v>
      </c>
      <c r="Y33" s="1100">
        <f>10^((Y50+Y52*LN(X33)+Y57*LN(X33)^2+AA51*LN(X33)^3+ AA57*LN(X33)^4)/(1+Y51*LN(X33)+Y55*LN(X33)^2+AA50*LN(X33)^3+AA52*LN(X33)^4+AA55*LN(X33)^5))</f>
        <v>3.5233702382238317</v>
      </c>
      <c r="Z33" s="1087"/>
      <c r="AA33" s="1100">
        <f t="shared" si="24"/>
        <v>2.67</v>
      </c>
      <c r="AB33" s="1092"/>
      <c r="AC33" s="1092">
        <f t="shared" ref="AC33:AC48" si="30">(AA33-AA32)*2/(AA33+AA32)</f>
        <v>0.68341708542713564</v>
      </c>
      <c r="AD33" s="1087"/>
      <c r="AE33" s="1087">
        <v>3</v>
      </c>
      <c r="AF33" s="1087">
        <v>480</v>
      </c>
      <c r="AG33" s="1100">
        <f t="shared" ref="AG33:AG47" si="31">Y33</f>
        <v>3.5233702382238317</v>
      </c>
      <c r="AH33" s="1092">
        <f>AK51*AF33+AH31</f>
        <v>137.36844048368579</v>
      </c>
      <c r="AI33" s="1087"/>
      <c r="AJ33" s="1092"/>
      <c r="AK33" s="1092"/>
      <c r="AL33" s="1092"/>
      <c r="AM33" s="1092"/>
      <c r="AN33" s="1092"/>
    </row>
    <row r="34" spans="1:40" ht="14.1" customHeight="1" x14ac:dyDescent="0.3">
      <c r="A34" s="1280">
        <v>4</v>
      </c>
      <c r="B34" s="1155">
        <v>4.7</v>
      </c>
      <c r="C34" s="1278">
        <f t="shared" si="25"/>
        <v>7.5033684329221487E-2</v>
      </c>
      <c r="K34" s="1080"/>
      <c r="M34" s="1103">
        <f t="shared" si="16"/>
        <v>720</v>
      </c>
      <c r="N34" s="1104">
        <f t="shared" si="17"/>
        <v>0.55088195386702854</v>
      </c>
      <c r="O34" s="1105">
        <f t="shared" si="18"/>
        <v>0.61491872699124628</v>
      </c>
      <c r="P34" s="1105">
        <f t="shared" si="19"/>
        <v>0.56367549974197584</v>
      </c>
      <c r="Q34" s="1114">
        <f t="shared" si="20"/>
        <v>0.51243227249270529</v>
      </c>
      <c r="R34" s="1105">
        <f t="shared" si="21"/>
        <v>0.46118904524343479</v>
      </c>
      <c r="S34" s="1105">
        <f t="shared" si="22"/>
        <v>0.40994581799416424</v>
      </c>
      <c r="T34" s="1107">
        <f t="shared" si="26"/>
        <v>0</v>
      </c>
      <c r="U34" s="355">
        <f t="shared" si="27"/>
        <v>0</v>
      </c>
      <c r="V34" s="1099">
        <f t="shared" si="28"/>
        <v>1</v>
      </c>
      <c r="W34" s="1279">
        <f t="shared" si="29"/>
        <v>7.5033684329221487E-2</v>
      </c>
      <c r="X34" s="1092">
        <f t="shared" si="23"/>
        <v>174.22740398992275</v>
      </c>
      <c r="Y34" s="1100">
        <f>10^((Y50+Y52*LN(X34)+Y57*LN(X34)^2+AA51*LN(X34)^3+ AA57*LN(X34)^4)/(1+Y51*LN(X34)+Y55*LN(X34)^2+AA50*LN(X34)^3+AA52*LN(X34)^4+AA55*LN(X34)^5))</f>
        <v>5.950807436033501</v>
      </c>
      <c r="Z34" s="1087"/>
      <c r="AA34" s="1100">
        <f t="shared" si="24"/>
        <v>4.7</v>
      </c>
      <c r="AB34" s="1092"/>
      <c r="AC34" s="1092">
        <f t="shared" si="30"/>
        <v>0.55088195386702854</v>
      </c>
      <c r="AD34" s="1087"/>
      <c r="AE34" s="1087">
        <v>4</v>
      </c>
      <c r="AF34" s="1087">
        <v>720</v>
      </c>
      <c r="AG34" s="1100">
        <f t="shared" si="31"/>
        <v>5.950807436033501</v>
      </c>
      <c r="AH34" s="1092">
        <f>AK51*AF34+AH31</f>
        <v>174.22740398992275</v>
      </c>
      <c r="AI34" s="1087"/>
      <c r="AJ34" s="1092"/>
      <c r="AK34" s="1092"/>
      <c r="AL34" s="1092"/>
      <c r="AM34" s="1092"/>
      <c r="AN34" s="1092"/>
    </row>
    <row r="35" spans="1:40" ht="14.1" customHeight="1" x14ac:dyDescent="0.3">
      <c r="A35" s="1280">
        <v>5</v>
      </c>
      <c r="B35" s="1155">
        <v>7.63</v>
      </c>
      <c r="C35" s="1278">
        <f t="shared" si="25"/>
        <v>6.6760107182426115E-2</v>
      </c>
      <c r="K35" s="1080"/>
      <c r="M35" s="1103">
        <f t="shared" si="16"/>
        <v>960</v>
      </c>
      <c r="N35" s="1104">
        <f t="shared" si="17"/>
        <v>0.4752635847526358</v>
      </c>
      <c r="O35" s="1105">
        <f t="shared" si="18"/>
        <v>0.53462469946453806</v>
      </c>
      <c r="P35" s="1105">
        <f t="shared" si="19"/>
        <v>0.49007264117582661</v>
      </c>
      <c r="Q35" s="1114">
        <f t="shared" si="20"/>
        <v>0.44552058288711505</v>
      </c>
      <c r="R35" s="1105">
        <f t="shared" si="21"/>
        <v>0.40096852459840354</v>
      </c>
      <c r="S35" s="1105">
        <f t="shared" si="22"/>
        <v>0.35641646630969204</v>
      </c>
      <c r="T35" s="1107">
        <f t="shared" si="26"/>
        <v>0</v>
      </c>
      <c r="U35" s="355">
        <f t="shared" si="27"/>
        <v>0</v>
      </c>
      <c r="V35" s="1099">
        <f t="shared" si="28"/>
        <v>1</v>
      </c>
      <c r="W35" s="1279">
        <f t="shared" si="29"/>
        <v>6.6760107182426115E-2</v>
      </c>
      <c r="X35" s="1092">
        <f t="shared" si="23"/>
        <v>211.08636749615971</v>
      </c>
      <c r="Y35" s="1100">
        <f>10^((Y50+Y52*LN(X35)+Y57*LN(X35)^2+AA51*LN(X35)^3+ AA57*LN(X35)^4)/(1+Y51*LN(X35)+Y55*LN(X35)^2+AA50*LN(X35)^3+AA52*LN(X35)^4+AA55*LN(X35)^5))</f>
        <v>9.3618621831908193</v>
      </c>
      <c r="Z35" s="1087"/>
      <c r="AA35" s="1100">
        <f t="shared" si="24"/>
        <v>7.63</v>
      </c>
      <c r="AB35" s="1092"/>
      <c r="AC35" s="1092">
        <f t="shared" si="30"/>
        <v>0.4752635847526358</v>
      </c>
      <c r="AD35" s="1087"/>
      <c r="AE35" s="1087">
        <v>5</v>
      </c>
      <c r="AF35" s="1087">
        <v>960</v>
      </c>
      <c r="AG35" s="1100">
        <f t="shared" si="31"/>
        <v>9.3618621831908193</v>
      </c>
      <c r="AH35" s="1092">
        <f>AK51*AF35+AH31</f>
        <v>211.08636749615971</v>
      </c>
      <c r="AI35" s="1087"/>
      <c r="AJ35" s="1092"/>
      <c r="AK35" s="1092"/>
      <c r="AL35" s="1092"/>
      <c r="AM35" s="1092"/>
      <c r="AN35" s="1092"/>
    </row>
    <row r="36" spans="1:40" ht="14.1" customHeight="1" x14ac:dyDescent="0.3">
      <c r="A36" s="1280">
        <v>6</v>
      </c>
      <c r="B36" s="1155">
        <v>11.6</v>
      </c>
      <c r="C36" s="1278">
        <f t="shared" si="25"/>
        <v>3.5904583865449556E-2</v>
      </c>
      <c r="K36" s="1080"/>
      <c r="M36" s="1103">
        <f t="shared" si="16"/>
        <v>1200</v>
      </c>
      <c r="N36" s="1104">
        <f t="shared" si="17"/>
        <v>0.41289651586063442</v>
      </c>
      <c r="O36" s="1105">
        <f t="shared" si="18"/>
        <v>0.47830256449286751</v>
      </c>
      <c r="P36" s="1105">
        <f t="shared" si="19"/>
        <v>0.43844401745179529</v>
      </c>
      <c r="Q36" s="1114">
        <f t="shared" si="20"/>
        <v>0.39858547041072295</v>
      </c>
      <c r="R36" s="1105">
        <f t="shared" si="21"/>
        <v>0.35872692336965067</v>
      </c>
      <c r="S36" s="1105">
        <f t="shared" si="22"/>
        <v>0.3188683763285784</v>
      </c>
      <c r="T36" s="1107">
        <f t="shared" si="26"/>
        <v>0</v>
      </c>
      <c r="U36" s="355">
        <f t="shared" si="27"/>
        <v>0</v>
      </c>
      <c r="V36" s="1099">
        <f t="shared" si="28"/>
        <v>1</v>
      </c>
      <c r="W36" s="1279">
        <f t="shared" si="29"/>
        <v>3.5904583865449556E-2</v>
      </c>
      <c r="X36" s="1092">
        <f t="shared" si="23"/>
        <v>247.94533100239667</v>
      </c>
      <c r="Y36" s="1100">
        <f>10^((Y50+Y52*LN(X36)+Y57*LN(X36)^2+AA51*LN(X36)^3+ AA57*LN(X36)^4)/(1+Y51*LN(X36)+Y55*LN(X36)^2+AA50*LN(X36)^3+AA52*LN(X36)^4+AA55*LN(X36)^5))</f>
        <v>14.022119940642924</v>
      </c>
      <c r="Z36" s="1087"/>
      <c r="AA36" s="1100">
        <f t="shared" si="24"/>
        <v>11.6</v>
      </c>
      <c r="AB36" s="1092"/>
      <c r="AC36" s="1092">
        <f t="shared" si="30"/>
        <v>0.41289651586063442</v>
      </c>
      <c r="AD36" s="1087"/>
      <c r="AE36" s="1087">
        <v>6</v>
      </c>
      <c r="AF36" s="1087">
        <v>1200</v>
      </c>
      <c r="AG36" s="1100">
        <f t="shared" si="31"/>
        <v>14.022119940642924</v>
      </c>
      <c r="AH36" s="1092">
        <f>AK51*AF36+AH31</f>
        <v>247.94533100239667</v>
      </c>
      <c r="AI36" s="1087"/>
      <c r="AJ36" s="1092"/>
      <c r="AK36" s="1092"/>
      <c r="AL36" s="1092"/>
      <c r="AM36" s="1092"/>
      <c r="AN36" s="1092"/>
    </row>
    <row r="37" spans="1:40" ht="14.1" customHeight="1" x14ac:dyDescent="0.3">
      <c r="A37" s="1280">
        <v>7</v>
      </c>
      <c r="B37" s="1155">
        <v>17</v>
      </c>
      <c r="C37" s="1278">
        <f t="shared" si="25"/>
        <v>3.6689403513942856E-2</v>
      </c>
      <c r="K37" s="1080"/>
      <c r="M37" s="1103">
        <f t="shared" si="16"/>
        <v>1440</v>
      </c>
      <c r="N37" s="1104">
        <f t="shared" si="17"/>
        <v>0.3776223776223776</v>
      </c>
      <c r="O37" s="1105">
        <f t="shared" si="18"/>
        <v>0.43710956397439299</v>
      </c>
      <c r="P37" s="1105">
        <f t="shared" si="19"/>
        <v>0.40068376697652697</v>
      </c>
      <c r="Q37" s="1114">
        <f t="shared" si="20"/>
        <v>0.36425796997866083</v>
      </c>
      <c r="R37" s="1105">
        <f t="shared" si="21"/>
        <v>0.32783217298079476</v>
      </c>
      <c r="S37" s="1105">
        <f t="shared" si="22"/>
        <v>0.29140637598292868</v>
      </c>
      <c r="T37" s="1107">
        <f t="shared" si="26"/>
        <v>0</v>
      </c>
      <c r="U37" s="355">
        <f t="shared" si="27"/>
        <v>0</v>
      </c>
      <c r="V37" s="1099">
        <f t="shared" si="28"/>
        <v>1</v>
      </c>
      <c r="W37" s="1279">
        <f t="shared" si="29"/>
        <v>3.6689403513942856E-2</v>
      </c>
      <c r="X37" s="1092">
        <f t="shared" si="23"/>
        <v>284.80429450863357</v>
      </c>
      <c r="Y37" s="1100">
        <f>10^((Y50+Y52*LN(X37)+Y57*LN(X37)^2+AA51*LN(X37)^3+ AA57*LN(X37)^4)/(1+Y51*LN(X37)+Y55*LN(X37)^2+AA50*LN(X37)^3+AA52*LN(X37)^4+AA55*LN(X37)^5))</f>
        <v>20.267198749688699</v>
      </c>
      <c r="Z37" s="1087"/>
      <c r="AA37" s="1100">
        <f t="shared" si="24"/>
        <v>17</v>
      </c>
      <c r="AB37" s="1092"/>
      <c r="AC37" s="1092">
        <f t="shared" si="30"/>
        <v>0.3776223776223776</v>
      </c>
      <c r="AD37" s="1087"/>
      <c r="AE37" s="1087">
        <v>7</v>
      </c>
      <c r="AF37" s="1087">
        <v>1440</v>
      </c>
      <c r="AG37" s="1100">
        <f t="shared" si="31"/>
        <v>20.267198749688699</v>
      </c>
      <c r="AH37" s="1092">
        <f>AK51*AF37+AH31</f>
        <v>284.80429450863357</v>
      </c>
      <c r="AI37" s="1087"/>
      <c r="AJ37" s="1092"/>
      <c r="AK37" s="1092"/>
      <c r="AL37" s="1092"/>
      <c r="AM37" s="1092"/>
      <c r="AN37" s="1092"/>
    </row>
    <row r="38" spans="1:40" ht="14.1" customHeight="1" x14ac:dyDescent="0.3">
      <c r="A38" s="1280">
        <v>8</v>
      </c>
      <c r="B38" s="1155">
        <v>23</v>
      </c>
      <c r="C38" s="1278">
        <f t="shared" si="25"/>
        <v>-0.11336750764999401</v>
      </c>
      <c r="K38" s="1080"/>
      <c r="M38" s="1103">
        <f t="shared" si="16"/>
        <v>1680</v>
      </c>
      <c r="N38" s="1104">
        <f t="shared" si="17"/>
        <v>0.3</v>
      </c>
      <c r="O38" s="1105">
        <f t="shared" si="18"/>
        <v>0.40603068701647221</v>
      </c>
      <c r="P38" s="1105">
        <f t="shared" si="19"/>
        <v>0.37219479643176623</v>
      </c>
      <c r="Q38" s="1114">
        <f t="shared" si="20"/>
        <v>0.33835890584706019</v>
      </c>
      <c r="R38" s="1105">
        <f t="shared" si="21"/>
        <v>0.3045230152623542</v>
      </c>
      <c r="S38" s="1105">
        <f t="shared" si="22"/>
        <v>0.27068712467764816</v>
      </c>
      <c r="T38" s="1107">
        <f t="shared" si="26"/>
        <v>1</v>
      </c>
      <c r="U38" s="355">
        <f t="shared" si="27"/>
        <v>0</v>
      </c>
      <c r="V38" s="1099">
        <f t="shared" si="28"/>
        <v>0</v>
      </c>
      <c r="W38" s="1279">
        <f t="shared" si="29"/>
        <v>-0.11336750764999401</v>
      </c>
      <c r="X38" s="1092">
        <f t="shared" si="23"/>
        <v>321.66325801487051</v>
      </c>
      <c r="Y38" s="1100">
        <f>10^((Y50+Y52*LN(X38)+Y57*LN(X38)^2+AA51*LN(X38)^3+ AA57*LN(X38)^4)/(1+Y51*LN(X38)+Y55*LN(X38)^2+AA50*LN(X38)^3+AA52*LN(X38)^4+AA55*LN(X38)^5))</f>
        <v>28.521192006909374</v>
      </c>
      <c r="Z38" s="1087"/>
      <c r="AA38" s="1100">
        <f t="shared" si="24"/>
        <v>23</v>
      </c>
      <c r="AB38" s="1092"/>
      <c r="AC38" s="1092">
        <f t="shared" si="30"/>
        <v>0.3</v>
      </c>
      <c r="AD38" s="1087"/>
      <c r="AE38" s="1087">
        <v>8</v>
      </c>
      <c r="AF38" s="1087">
        <v>1680</v>
      </c>
      <c r="AG38" s="1100">
        <f t="shared" si="31"/>
        <v>28.521192006909374</v>
      </c>
      <c r="AH38" s="1092">
        <f>AK51*AF38+AH31</f>
        <v>321.66325801487051</v>
      </c>
      <c r="AI38" s="1087"/>
      <c r="AJ38" s="1092"/>
      <c r="AK38" s="1092"/>
      <c r="AL38" s="1092"/>
      <c r="AM38" s="1092"/>
      <c r="AN38" s="1092"/>
    </row>
    <row r="39" spans="1:40" ht="14.1" customHeight="1" x14ac:dyDescent="0.3">
      <c r="A39" s="1280">
        <v>9</v>
      </c>
      <c r="B39" s="1155">
        <v>33.9</v>
      </c>
      <c r="C39" s="1278">
        <f t="shared" si="25"/>
        <v>0.20347770110282326</v>
      </c>
      <c r="K39" s="1080"/>
      <c r="M39" s="1103">
        <f t="shared" si="16"/>
        <v>1920</v>
      </c>
      <c r="N39" s="1104">
        <f t="shared" si="17"/>
        <v>0.383128295254833</v>
      </c>
      <c r="O39" s="1105">
        <f t="shared" si="18"/>
        <v>0.38202116573036438</v>
      </c>
      <c r="P39" s="1105">
        <f t="shared" si="19"/>
        <v>0.35018606858616741</v>
      </c>
      <c r="Q39" s="1114">
        <f t="shared" si="20"/>
        <v>0.31835097144197033</v>
      </c>
      <c r="R39" s="1105">
        <f t="shared" si="21"/>
        <v>0.28651587429777331</v>
      </c>
      <c r="S39" s="1105">
        <f t="shared" si="22"/>
        <v>0.25468077715357629</v>
      </c>
      <c r="T39" s="1107">
        <f t="shared" si="26"/>
        <v>1</v>
      </c>
      <c r="U39" s="355">
        <f t="shared" si="27"/>
        <v>1</v>
      </c>
      <c r="V39" s="1099">
        <f t="shared" si="28"/>
        <v>0</v>
      </c>
      <c r="W39" s="1279">
        <f t="shared" si="29"/>
        <v>0.20347770110282326</v>
      </c>
      <c r="X39" s="1092">
        <f t="shared" si="23"/>
        <v>358.52222152110755</v>
      </c>
      <c r="Y39" s="1100">
        <f>10^((Y50+Y52*LN(X39)+Y57*LN(X39)^2+AA51*LN(X39)^3+ AA57*LN(X39)^4)/(1+Y51*LN(X39)+Y55*LN(X39)^2+AA50*LN(X39)^3+AA52*LN(X39)^4+AA55*LN(X39)^5))</f>
        <v>39.319817674797051</v>
      </c>
      <c r="Z39" s="1087"/>
      <c r="AA39" s="1100">
        <f t="shared" si="24"/>
        <v>33.9</v>
      </c>
      <c r="AB39" s="1092"/>
      <c r="AC39" s="1092">
        <f t="shared" si="30"/>
        <v>0.383128295254833</v>
      </c>
      <c r="AD39" s="1087"/>
      <c r="AE39" s="1087">
        <v>9</v>
      </c>
      <c r="AF39" s="1087">
        <v>1920</v>
      </c>
      <c r="AG39" s="1100">
        <f t="shared" si="31"/>
        <v>39.319817674797051</v>
      </c>
      <c r="AH39" s="1092">
        <f>AK51*AF39+AH31</f>
        <v>358.52222152110755</v>
      </c>
      <c r="AI39" s="1087"/>
      <c r="AJ39" s="1092"/>
      <c r="AK39" s="1092"/>
      <c r="AL39" s="1092"/>
      <c r="AM39" s="1092"/>
      <c r="AN39" s="1092"/>
    </row>
    <row r="40" spans="1:40" ht="14.1" customHeight="1" x14ac:dyDescent="0.3">
      <c r="A40" s="1280">
        <v>10</v>
      </c>
      <c r="B40" s="1155">
        <v>46.7</v>
      </c>
      <c r="C40" s="1278">
        <f t="shared" si="25"/>
        <v>4.9596853010247445E-2</v>
      </c>
      <c r="K40" s="1080"/>
      <c r="M40" s="1103">
        <f t="shared" si="16"/>
        <v>2160</v>
      </c>
      <c r="N40" s="1104">
        <f t="shared" si="17"/>
        <v>0.31761786600496289</v>
      </c>
      <c r="O40" s="1105">
        <f t="shared" si="18"/>
        <v>0.36313127093782765</v>
      </c>
      <c r="P40" s="1105">
        <f t="shared" si="19"/>
        <v>0.33287033169300873</v>
      </c>
      <c r="Q40" s="1114">
        <f t="shared" si="20"/>
        <v>0.30260939244818974</v>
      </c>
      <c r="R40" s="1105">
        <f t="shared" si="21"/>
        <v>0.27234845320337076</v>
      </c>
      <c r="S40" s="1105">
        <f t="shared" si="22"/>
        <v>0.2420875139585518</v>
      </c>
      <c r="T40" s="1107">
        <f t="shared" si="26"/>
        <v>0</v>
      </c>
      <c r="U40" s="355">
        <f t="shared" si="27"/>
        <v>0</v>
      </c>
      <c r="V40" s="1099">
        <f t="shared" si="28"/>
        <v>1</v>
      </c>
      <c r="W40" s="1279">
        <f t="shared" si="29"/>
        <v>4.9596853010247445E-2</v>
      </c>
      <c r="X40" s="1092">
        <f t="shared" si="23"/>
        <v>395.38118502734449</v>
      </c>
      <c r="Y40" s="1100">
        <f>10^((Y50+Y52*LN(X40)+Y57*LN(X40)^2+AA51*LN(X40)^3+ AA57*LN(X40)^4)/(1+Y51*LN(X40)+Y55*LN(X40)^2+AA50*LN(X40)^3+AA52*LN(X40)^4+AA55*LN(X40)^5))</f>
        <v>53.339626768598393</v>
      </c>
      <c r="Z40" s="1087"/>
      <c r="AA40" s="1100">
        <f t="shared" si="24"/>
        <v>46.7</v>
      </c>
      <c r="AB40" s="1092"/>
      <c r="AC40" s="1092">
        <f t="shared" si="30"/>
        <v>0.31761786600496289</v>
      </c>
      <c r="AD40" s="1087"/>
      <c r="AE40" s="1087">
        <v>10</v>
      </c>
      <c r="AF40" s="1087">
        <v>2160</v>
      </c>
      <c r="AG40" s="1100">
        <f t="shared" si="31"/>
        <v>53.339626768598393</v>
      </c>
      <c r="AH40" s="1092">
        <f>AK51*AF40+AH31</f>
        <v>395.38118502734449</v>
      </c>
      <c r="AI40" s="1087"/>
      <c r="AJ40" s="1092"/>
      <c r="AK40" s="1092"/>
      <c r="AL40" s="1092"/>
      <c r="AM40" s="1092"/>
      <c r="AN40" s="1092"/>
    </row>
    <row r="41" spans="1:40" ht="14.1" customHeight="1" x14ac:dyDescent="0.3">
      <c r="A41" s="1280">
        <v>11</v>
      </c>
      <c r="B41" s="1155">
        <v>63.5</v>
      </c>
      <c r="C41" s="1278">
        <f t="shared" si="25"/>
        <v>5.1205198021977129E-2</v>
      </c>
      <c r="K41" s="1080"/>
      <c r="M41" s="1103">
        <f t="shared" si="16"/>
        <v>2400</v>
      </c>
      <c r="N41" s="1104">
        <f t="shared" si="17"/>
        <v>0.30490018148820319</v>
      </c>
      <c r="O41" s="1105">
        <f t="shared" si="18"/>
        <v>0.34805784681650187</v>
      </c>
      <c r="P41" s="1105">
        <f t="shared" si="19"/>
        <v>0.31905302624846005</v>
      </c>
      <c r="Q41" s="1114">
        <f t="shared" si="20"/>
        <v>0.29004820568041823</v>
      </c>
      <c r="R41" s="1105">
        <f t="shared" si="21"/>
        <v>0.2610433851123764</v>
      </c>
      <c r="S41" s="1105">
        <f t="shared" si="22"/>
        <v>0.23203856454433458</v>
      </c>
      <c r="T41" s="1107">
        <f t="shared" si="26"/>
        <v>0</v>
      </c>
      <c r="U41" s="355">
        <f t="shared" si="27"/>
        <v>0</v>
      </c>
      <c r="V41" s="1099">
        <f t="shared" si="28"/>
        <v>1</v>
      </c>
      <c r="W41" s="1279">
        <f t="shared" si="29"/>
        <v>5.1205198021977129E-2</v>
      </c>
      <c r="X41" s="1092">
        <f t="shared" si="23"/>
        <v>432.24014853358142</v>
      </c>
      <c r="Y41" s="1100">
        <f>10^((Y50+Y52*LN(X41)+Y57*LN(X41)^2+AA51*LN(X41)^3+ AA57*LN(X41)^4)/(1+Y51*LN(X41)+Y55*LN(X41)^2+AA50*LN(X41)^3+AA52*LN(X41)^4+AA55*LN(X41)^5))</f>
        <v>71.434947452245339</v>
      </c>
      <c r="Z41" s="1087"/>
      <c r="AA41" s="1100">
        <f t="shared" si="24"/>
        <v>63.5</v>
      </c>
      <c r="AB41" s="1092"/>
      <c r="AC41" s="1092">
        <f t="shared" si="30"/>
        <v>0.30490018148820319</v>
      </c>
      <c r="AD41" s="1087"/>
      <c r="AE41" s="1087">
        <v>11</v>
      </c>
      <c r="AF41" s="1087">
        <v>2400</v>
      </c>
      <c r="AG41" s="1100">
        <f t="shared" si="31"/>
        <v>71.434947452245339</v>
      </c>
      <c r="AH41" s="1092">
        <f>AK51*AF41+AH31</f>
        <v>432.24014853358142</v>
      </c>
      <c r="AI41" s="1087"/>
      <c r="AJ41" s="1092"/>
      <c r="AK41" s="1092"/>
      <c r="AL41" s="1092"/>
      <c r="AM41" s="1092"/>
      <c r="AN41" s="1092"/>
    </row>
    <row r="42" spans="1:40" ht="14.1" customHeight="1" x14ac:dyDescent="0.3">
      <c r="A42" s="1280">
        <v>12</v>
      </c>
      <c r="B42" s="1155">
        <v>85</v>
      </c>
      <c r="C42" s="1278">
        <f t="shared" si="25"/>
        <v>3.4463008650346745E-2</v>
      </c>
      <c r="E42" s="1115"/>
      <c r="F42" s="1116"/>
      <c r="G42" s="1116"/>
      <c r="K42" s="1080"/>
      <c r="M42" s="1103">
        <f t="shared" si="16"/>
        <v>2640</v>
      </c>
      <c r="N42" s="1104">
        <f t="shared" si="17"/>
        <v>0.28956228956228958</v>
      </c>
      <c r="O42" s="1105">
        <f t="shared" si="18"/>
        <v>0.33589866874804369</v>
      </c>
      <c r="P42" s="1105">
        <f t="shared" si="19"/>
        <v>0.30790711301904011</v>
      </c>
      <c r="Q42" s="1114">
        <f t="shared" si="20"/>
        <v>0.27991555729003642</v>
      </c>
      <c r="R42" s="1105">
        <f t="shared" si="21"/>
        <v>0.25192400156103278</v>
      </c>
      <c r="S42" s="1105">
        <f t="shared" si="22"/>
        <v>0.22393244583202915</v>
      </c>
      <c r="T42" s="1107">
        <f t="shared" si="26"/>
        <v>0</v>
      </c>
      <c r="U42" s="355">
        <f t="shared" si="27"/>
        <v>0</v>
      </c>
      <c r="V42" s="1099">
        <f t="shared" si="28"/>
        <v>1</v>
      </c>
      <c r="W42" s="1279">
        <f t="shared" si="29"/>
        <v>3.4463008650346745E-2</v>
      </c>
      <c r="X42" s="1092">
        <f t="shared" si="23"/>
        <v>469.09911203981835</v>
      </c>
      <c r="Y42" s="1100">
        <f>10^((Y50+Y52*LN(X42)+Y57*LN(X42)^2+AA51*LN(X42)^3+ AA57*LN(X42)^4)/(1+Y51*LN(X42)+Y55*LN(X42)^2+AA50*LN(X42)^3+AA52*LN(X42)^4+AA55*LN(X42)^5))</f>
        <v>94.684681743867387</v>
      </c>
      <c r="Z42" s="1087"/>
      <c r="AA42" s="1100">
        <f t="shared" si="24"/>
        <v>85</v>
      </c>
      <c r="AB42" s="1092"/>
      <c r="AC42" s="1092">
        <f t="shared" si="30"/>
        <v>0.28956228956228958</v>
      </c>
      <c r="AD42" s="1087"/>
      <c r="AE42" s="1087">
        <v>12</v>
      </c>
      <c r="AF42" s="1087">
        <v>2640</v>
      </c>
      <c r="AG42" s="1100">
        <f t="shared" si="31"/>
        <v>94.684681743867387</v>
      </c>
      <c r="AH42" s="1092">
        <f>AK51*AF42+AH31</f>
        <v>469.09911203981835</v>
      </c>
      <c r="AI42" s="1087"/>
      <c r="AJ42" s="1092"/>
      <c r="AK42" s="1092"/>
      <c r="AL42" s="1092"/>
      <c r="AM42" s="1092"/>
      <c r="AN42" s="1092"/>
    </row>
    <row r="43" spans="1:40" ht="14.1" customHeight="1" x14ac:dyDescent="0.3">
      <c r="A43" s="1280">
        <v>13</v>
      </c>
      <c r="B43" s="1155">
        <v>114</v>
      </c>
      <c r="C43" s="1278">
        <f t="shared" si="25"/>
        <v>7.2814721585426748E-2</v>
      </c>
      <c r="E43" s="1115"/>
      <c r="F43" s="1116"/>
      <c r="G43" s="1116"/>
      <c r="K43" s="1080"/>
      <c r="M43" s="1103">
        <f t="shared" si="16"/>
        <v>2880</v>
      </c>
      <c r="N43" s="1104">
        <f t="shared" si="17"/>
        <v>0.29145728643216079</v>
      </c>
      <c r="O43" s="1105">
        <f t="shared" si="18"/>
        <v>0.3260103880768222</v>
      </c>
      <c r="P43" s="1105">
        <f t="shared" si="19"/>
        <v>0.29884285573708708</v>
      </c>
      <c r="Q43" s="1114">
        <f t="shared" si="20"/>
        <v>0.27167532339735184</v>
      </c>
      <c r="R43" s="1105">
        <f t="shared" si="21"/>
        <v>0.24450779105761666</v>
      </c>
      <c r="S43" s="1105">
        <f t="shared" si="22"/>
        <v>0.21734025871788148</v>
      </c>
      <c r="T43" s="1107">
        <f t="shared" si="26"/>
        <v>0</v>
      </c>
      <c r="U43" s="355">
        <f t="shared" si="27"/>
        <v>0</v>
      </c>
      <c r="V43" s="1099">
        <f t="shared" si="28"/>
        <v>1</v>
      </c>
      <c r="W43" s="1279">
        <f t="shared" si="29"/>
        <v>7.2814721585426748E-2</v>
      </c>
      <c r="X43" s="1092">
        <f t="shared" si="23"/>
        <v>505.95807554605528</v>
      </c>
      <c r="Y43" s="1100">
        <f>10^((Y50+Y52*LN(X43)+Y57*LN(X43)^2+AA51*LN(X43)^3+ AA57*LN(X43)^4)/(1+Y51*LN(X43)+Y55*LN(X43)^2+AA50*LN(X43)^3+AA52*LN(X43)^4+AA55*LN(X43)^5))</f>
        <v>124.45164842758672</v>
      </c>
      <c r="Z43" s="1087"/>
      <c r="AA43" s="1100">
        <f t="shared" si="24"/>
        <v>114</v>
      </c>
      <c r="AB43" s="1092"/>
      <c r="AC43" s="1092">
        <f t="shared" si="30"/>
        <v>0.29145728643216079</v>
      </c>
      <c r="AD43" s="1087"/>
      <c r="AE43" s="1087">
        <v>13</v>
      </c>
      <c r="AF43" s="1087">
        <v>2880</v>
      </c>
      <c r="AG43" s="1100">
        <f t="shared" si="31"/>
        <v>124.45164842758672</v>
      </c>
      <c r="AH43" s="1092">
        <f>AK51*AF43+AH31</f>
        <v>505.95807554605528</v>
      </c>
      <c r="AI43" s="1087"/>
      <c r="AJ43" s="1092"/>
      <c r="AK43" s="1092"/>
      <c r="AL43" s="1092"/>
      <c r="AM43" s="1092"/>
      <c r="AN43" s="1092"/>
    </row>
    <row r="44" spans="1:40" ht="14.1" customHeight="1" x14ac:dyDescent="0.3">
      <c r="A44" s="1280">
        <v>14</v>
      </c>
      <c r="B44" s="1155">
        <v>151</v>
      </c>
      <c r="C44" s="1278">
        <f t="shared" si="25"/>
        <v>5.4012357668912887E-2</v>
      </c>
      <c r="K44" s="1080"/>
      <c r="M44" s="1103">
        <f t="shared" si="16"/>
        <v>3120</v>
      </c>
      <c r="N44" s="1104">
        <f t="shared" si="17"/>
        <v>0.27924528301886792</v>
      </c>
      <c r="O44" s="1105">
        <f t="shared" si="18"/>
        <v>0.31792259093028735</v>
      </c>
      <c r="P44" s="1105">
        <f t="shared" si="19"/>
        <v>0.29142904168609673</v>
      </c>
      <c r="Q44" s="1114">
        <f t="shared" si="20"/>
        <v>0.26493549244190612</v>
      </c>
      <c r="R44" s="1105">
        <f t="shared" si="21"/>
        <v>0.2384419431977155</v>
      </c>
      <c r="S44" s="1105">
        <f t="shared" si="22"/>
        <v>0.21194839395352491</v>
      </c>
      <c r="T44" s="1107">
        <f t="shared" si="26"/>
        <v>0</v>
      </c>
      <c r="U44" s="355">
        <f t="shared" si="27"/>
        <v>0</v>
      </c>
      <c r="V44" s="1099">
        <f t="shared" si="28"/>
        <v>1</v>
      </c>
      <c r="W44" s="1279">
        <f t="shared" si="29"/>
        <v>5.4012357668912887E-2</v>
      </c>
      <c r="X44" s="1092">
        <f t="shared" si="23"/>
        <v>542.81703905229233</v>
      </c>
      <c r="Y44" s="1100">
        <f>10^((Y50+Y52*LN(X44)+Y57*LN(X44)^2+AA51*LN(X44)^3+ AA57*LN(X44)^4)/(1+Y51*LN(X44)+Y55*LN(X44)^2+AA50*LN(X44)^3+AA52*LN(X44)^4+AA55*LN(X44)^5))</f>
        <v>162.45791115469825</v>
      </c>
      <c r="Z44" s="1087"/>
      <c r="AA44" s="1100">
        <f t="shared" si="24"/>
        <v>151</v>
      </c>
      <c r="AB44" s="1092"/>
      <c r="AC44" s="1092">
        <f t="shared" si="30"/>
        <v>0.27924528301886792</v>
      </c>
      <c r="AD44" s="1087"/>
      <c r="AE44" s="1087">
        <v>14</v>
      </c>
      <c r="AF44" s="1087">
        <v>3120</v>
      </c>
      <c r="AG44" s="1100">
        <f t="shared" si="31"/>
        <v>162.45791115469825</v>
      </c>
      <c r="AH44" s="1092">
        <f>AK51*AF44+AH31</f>
        <v>542.81703905229233</v>
      </c>
      <c r="AI44" s="1087"/>
      <c r="AJ44" s="1092"/>
      <c r="AK44" s="1092"/>
      <c r="AL44" s="1092"/>
      <c r="AM44" s="1092"/>
      <c r="AN44" s="1092"/>
    </row>
    <row r="45" spans="1:40" ht="14.1" customHeight="1" x14ac:dyDescent="0.3">
      <c r="A45" s="1280">
        <v>15</v>
      </c>
      <c r="B45" s="1155">
        <v>200</v>
      </c>
      <c r="C45" s="1278">
        <f t="shared" si="25"/>
        <v>7.6325686217018907E-2</v>
      </c>
      <c r="E45" s="1127"/>
      <c r="F45" s="1819" t="s">
        <v>1028</v>
      </c>
      <c r="G45" s="1826" t="s">
        <v>1029</v>
      </c>
      <c r="H45" s="1819" t="s">
        <v>1102</v>
      </c>
      <c r="I45" s="1820" t="s">
        <v>15</v>
      </c>
      <c r="J45" s="1820"/>
      <c r="K45" s="1080"/>
      <c r="M45" s="1103">
        <f t="shared" si="16"/>
        <v>3360</v>
      </c>
      <c r="N45" s="1104">
        <f t="shared" si="17"/>
        <v>0.27920227920227919</v>
      </c>
      <c r="O45" s="1105">
        <f t="shared" si="18"/>
        <v>0.31128378643486221</v>
      </c>
      <c r="P45" s="1105">
        <f t="shared" si="19"/>
        <v>0.28534347089862372</v>
      </c>
      <c r="Q45" s="1114">
        <f t="shared" si="20"/>
        <v>0.25940315536238517</v>
      </c>
      <c r="R45" s="1105">
        <f t="shared" si="21"/>
        <v>0.23346283982614666</v>
      </c>
      <c r="S45" s="1105">
        <f t="shared" si="22"/>
        <v>0.20752252428990814</v>
      </c>
      <c r="T45" s="1107">
        <f t="shared" si="26"/>
        <v>0</v>
      </c>
      <c r="U45" s="355">
        <f t="shared" si="27"/>
        <v>0</v>
      </c>
      <c r="V45" s="1099">
        <f t="shared" si="28"/>
        <v>1</v>
      </c>
      <c r="W45" s="1279">
        <f t="shared" si="29"/>
        <v>7.6325686217018907E-2</v>
      </c>
      <c r="X45" s="1092">
        <f t="shared" si="23"/>
        <v>579.67600255852915</v>
      </c>
      <c r="Y45" s="1100">
        <f>10^((Y50+Y52*LN(X45)+Y57*LN(X45)^2+AA51*LN(X45)^3+ AA57*LN(X45)^4)/(1+Y51*LN(X45)+Y55*LN(X45)^2+AA50*LN(X45)^3+AA52*LN(X45)^4+AA55*LN(X45)^5))</f>
        <v>210.88049091168335</v>
      </c>
      <c r="Z45" s="1087"/>
      <c r="AA45" s="1100">
        <f t="shared" si="24"/>
        <v>200</v>
      </c>
      <c r="AB45" s="1092"/>
      <c r="AC45" s="1092">
        <f t="shared" si="30"/>
        <v>0.27920227920227919</v>
      </c>
      <c r="AD45" s="1087"/>
      <c r="AE45" s="1087">
        <v>15</v>
      </c>
      <c r="AF45" s="1087">
        <v>3360</v>
      </c>
      <c r="AG45" s="1100">
        <f t="shared" si="31"/>
        <v>210.88049091168335</v>
      </c>
      <c r="AH45" s="1092">
        <f>AK51*AF45+AH31</f>
        <v>579.67600255852915</v>
      </c>
      <c r="AI45" s="1087"/>
      <c r="AJ45" s="1092"/>
      <c r="AK45" s="1092"/>
      <c r="AL45" s="1092"/>
      <c r="AM45" s="1092"/>
      <c r="AN45" s="1092"/>
    </row>
    <row r="46" spans="1:40" ht="14.1" customHeight="1" x14ac:dyDescent="0.3">
      <c r="A46" s="1280">
        <v>16</v>
      </c>
      <c r="B46" s="1155">
        <v>263</v>
      </c>
      <c r="C46" s="1278">
        <f t="shared" si="25"/>
        <v>6.7814755632556276E-2</v>
      </c>
      <c r="E46" s="1127"/>
      <c r="F46" s="1819"/>
      <c r="G46" s="1827"/>
      <c r="H46" s="1819"/>
      <c r="I46" s="1308" t="s">
        <v>16</v>
      </c>
      <c r="J46" s="1308" t="s">
        <v>17</v>
      </c>
      <c r="K46" s="1080"/>
      <c r="M46" s="1103">
        <f t="shared" si="16"/>
        <v>3600</v>
      </c>
      <c r="N46" s="1104">
        <f t="shared" si="17"/>
        <v>0.27213822894168466</v>
      </c>
      <c r="O46" s="1105">
        <f t="shared" si="18"/>
        <v>0.30582633645717811</v>
      </c>
      <c r="P46" s="1105">
        <f t="shared" si="19"/>
        <v>0.28034080841907999</v>
      </c>
      <c r="Q46" s="1114">
        <f t="shared" si="20"/>
        <v>0.25485528038098176</v>
      </c>
      <c r="R46" s="1105">
        <f t="shared" si="21"/>
        <v>0.22936975234288359</v>
      </c>
      <c r="S46" s="1105">
        <f t="shared" si="22"/>
        <v>0.20388422430478542</v>
      </c>
      <c r="T46" s="1107">
        <f t="shared" si="26"/>
        <v>0</v>
      </c>
      <c r="U46" s="355">
        <f t="shared" si="27"/>
        <v>0</v>
      </c>
      <c r="V46" s="1099">
        <f t="shared" si="28"/>
        <v>1</v>
      </c>
      <c r="W46" s="1279">
        <f t="shared" si="29"/>
        <v>6.7814755632556276E-2</v>
      </c>
      <c r="X46" s="1092">
        <f t="shared" si="23"/>
        <v>616.53496606476619</v>
      </c>
      <c r="Y46" s="1100">
        <f>10^((Y50+Y52*LN(X46)+Y57*LN(X46)^2+AA51*LN(X46)^3+ AA57*LN(X46)^4)/(1+Y51*LN(X46)+Y55*LN(X46)^2+AA50*LN(X46)^3+AA52*LN(X46)^4+AA55*LN(X46)^5))</f>
        <v>272.47309814245671</v>
      </c>
      <c r="Z46" s="1087"/>
      <c r="AA46" s="1100">
        <f t="shared" si="24"/>
        <v>263</v>
      </c>
      <c r="AB46" s="1092"/>
      <c r="AC46" s="1092">
        <f t="shared" si="30"/>
        <v>0.27213822894168466</v>
      </c>
      <c r="AD46" s="1087"/>
      <c r="AE46" s="1087">
        <v>16</v>
      </c>
      <c r="AF46" s="1087">
        <v>3600</v>
      </c>
      <c r="AG46" s="1100">
        <f t="shared" si="31"/>
        <v>272.47309814245671</v>
      </c>
      <c r="AH46" s="1092">
        <f>AK51*AF46+AH31</f>
        <v>616.53496606476619</v>
      </c>
      <c r="AI46" s="1087"/>
      <c r="AJ46" s="1092"/>
      <c r="AK46" s="1092"/>
      <c r="AL46" s="1092"/>
      <c r="AM46" s="1092"/>
      <c r="AN46" s="1092"/>
    </row>
    <row r="47" spans="1:40" ht="14.1" customHeight="1" x14ac:dyDescent="0.3">
      <c r="A47" s="1280">
        <v>17</v>
      </c>
      <c r="B47" s="1155">
        <v>344</v>
      </c>
      <c r="C47" s="1278">
        <f t="shared" si="25"/>
        <v>6.2787446897168642E-2</v>
      </c>
      <c r="E47" s="1127"/>
      <c r="F47" s="1108">
        <f>B48</f>
        <v>450</v>
      </c>
      <c r="G47" s="1108">
        <f>MIN(B31:B48)</f>
        <v>0.82</v>
      </c>
      <c r="H47" s="1109">
        <f>(B48+0.2)/(B31+0.2)</f>
        <v>441.37254901960785</v>
      </c>
      <c r="I47" s="1110" t="str">
        <f>IF($J$29=$Q$4, IF(AND($G47&gt;=1,$F47&gt;=420,$H47&gt;=350,$H47&lt;=450),"X",""),IF(AND($G47&gt;=1,$H47&gt;=250,$F47&gt;=250),"X",""))</f>
        <v/>
      </c>
      <c r="J47" s="1110" t="str">
        <f>IF($J$29=$Q$4, IF(AND($G47&gt;=1,$F47&gt;=420,$H47&gt;=350,$H47&lt;=450),"","X"),IF(AND($G47&gt;=1,$H47&gt;=250,$F47&gt;=250),"","X"))</f>
        <v>X</v>
      </c>
      <c r="K47" s="1078"/>
      <c r="M47" s="1103">
        <f t="shared" si="16"/>
        <v>3840</v>
      </c>
      <c r="N47" s="1104">
        <f t="shared" si="17"/>
        <v>0.26688632619439867</v>
      </c>
      <c r="O47" s="1105">
        <f t="shared" si="18"/>
        <v>0.30134303182475008</v>
      </c>
      <c r="P47" s="1105">
        <f t="shared" si="19"/>
        <v>0.27623111250602095</v>
      </c>
      <c r="Q47" s="1114">
        <f t="shared" si="20"/>
        <v>0.25111919318729176</v>
      </c>
      <c r="R47" s="1105">
        <f t="shared" si="21"/>
        <v>0.22600727386856259</v>
      </c>
      <c r="S47" s="1105">
        <f t="shared" si="22"/>
        <v>0.20089535454983343</v>
      </c>
      <c r="T47" s="1107">
        <f t="shared" si="26"/>
        <v>0</v>
      </c>
      <c r="U47" s="355">
        <f t="shared" si="27"/>
        <v>0</v>
      </c>
      <c r="V47" s="1099">
        <f t="shared" si="28"/>
        <v>1</v>
      </c>
      <c r="W47" s="1279">
        <f t="shared" si="29"/>
        <v>6.2787446897168642E-2</v>
      </c>
      <c r="X47" s="1092">
        <f t="shared" si="23"/>
        <v>653.39392957100313</v>
      </c>
      <c r="Y47" s="1100">
        <f>10^((Y50+Y52*LN(X47)+Y57*LN(X47)^2+AA51*LN(X47)^3+ AA57*LN(X47)^4)/(1+Y51*LN(X47)+Y55*LN(X47)^2+AA50*LN(X47)^3+AA52*LN(X47)^4+AA55*LN(X47)^5))</f>
        <v>350.7211117340463</v>
      </c>
      <c r="Z47" s="1087"/>
      <c r="AA47" s="1100">
        <f t="shared" si="24"/>
        <v>344</v>
      </c>
      <c r="AB47" s="1092"/>
      <c r="AC47" s="1092">
        <f t="shared" si="30"/>
        <v>0.26688632619439867</v>
      </c>
      <c r="AD47" s="1087"/>
      <c r="AE47" s="1087">
        <v>17</v>
      </c>
      <c r="AF47" s="1087">
        <v>3840</v>
      </c>
      <c r="AG47" s="1100">
        <f t="shared" si="31"/>
        <v>350.7211117340463</v>
      </c>
      <c r="AH47" s="1092">
        <f>AK51*AF47+AH31</f>
        <v>653.39392957100313</v>
      </c>
      <c r="AI47" s="1087"/>
      <c r="AJ47" s="1092"/>
      <c r="AK47" s="1092"/>
      <c r="AL47" s="1092"/>
      <c r="AM47" s="1092"/>
      <c r="AN47" s="1092"/>
    </row>
    <row r="48" spans="1:40" ht="14.1" customHeight="1" thickBot="1" x14ac:dyDescent="0.35">
      <c r="A48" s="1280">
        <v>18</v>
      </c>
      <c r="B48" s="1155">
        <v>450</v>
      </c>
      <c r="C48" s="1278">
        <f t="shared" si="25"/>
        <v>7.6737247449922663E-2</v>
      </c>
      <c r="E48" s="1127"/>
      <c r="F48" s="1829" t="s">
        <v>837</v>
      </c>
      <c r="G48" s="1829"/>
      <c r="H48" s="1829"/>
      <c r="I48" s="1110" t="str">
        <f>IF($J$29=+$Q$4,IF($T49=0,"X",""),IF($U49=0,"X",""))</f>
        <v/>
      </c>
      <c r="J48" s="1110" t="str">
        <f>IF($J$29=+$Q$4,IF($T49=0,"","X"),IF($U49=0,"","X"))</f>
        <v>X</v>
      </c>
      <c r="K48" s="1078"/>
      <c r="M48" s="1103">
        <f t="shared" si="16"/>
        <v>4080</v>
      </c>
      <c r="N48" s="1104">
        <f t="shared" si="17"/>
        <v>0.26700251889168763</v>
      </c>
      <c r="O48" s="1105">
        <f t="shared" si="18"/>
        <v>0.29756843968094138</v>
      </c>
      <c r="P48" s="1105">
        <f t="shared" si="19"/>
        <v>0.27277106970752962</v>
      </c>
      <c r="Q48" s="1114">
        <f t="shared" si="20"/>
        <v>0.24797369973411781</v>
      </c>
      <c r="R48" s="1105">
        <f t="shared" si="21"/>
        <v>0.22317632976070603</v>
      </c>
      <c r="S48" s="1105">
        <f t="shared" si="22"/>
        <v>0.19837895978729425</v>
      </c>
      <c r="T48" s="1107">
        <f t="shared" si="26"/>
        <v>0</v>
      </c>
      <c r="U48" s="355">
        <f t="shared" si="27"/>
        <v>0</v>
      </c>
      <c r="V48" s="1099">
        <f t="shared" si="28"/>
        <v>1</v>
      </c>
      <c r="W48" s="1279">
        <f t="shared" si="29"/>
        <v>7.6737247449922663E-2</v>
      </c>
      <c r="X48" s="1092">
        <f t="shared" si="23"/>
        <v>690.25289307724006</v>
      </c>
      <c r="Y48" s="1100">
        <f>10^((Y50+Y52*LN(X48)+Y57*LN(X48)^2+AA51*LN(X48)^3+ AA57*LN(X48)^4)/(1+Y51*LN(X48)+Y55*LN(X48)^2+AA50*LN(X48)^3+AA52*LN(X48)^4+AA55*LN(X48)^5))</f>
        <v>450.03908379088074</v>
      </c>
      <c r="Z48" s="1087"/>
      <c r="AA48" s="1100">
        <f t="shared" si="24"/>
        <v>450</v>
      </c>
      <c r="AB48" s="1092">
        <f>AD50+AD51*LOG10(AA48)+AD52*LOG10(AA48)^2+AD55*LOG10(AA48)^3+AF50*LOG10(AA48)^4+AF51*LOG(AA48)^5+AF52*LOG10(AA48)^6+AF55*LOG10(AA48)^7+AF57*LOG10(AA48)^8</f>
        <v>690.25289307724006</v>
      </c>
      <c r="AC48" s="1092">
        <f t="shared" si="30"/>
        <v>0.26700251889168763</v>
      </c>
      <c r="AD48" s="1087"/>
      <c r="AE48" s="1087">
        <v>18</v>
      </c>
      <c r="AF48" s="1087">
        <v>4080</v>
      </c>
      <c r="AG48" s="1100">
        <f>AA48</f>
        <v>450</v>
      </c>
      <c r="AH48" s="1101">
        <f>AB48</f>
        <v>690.25289307724006</v>
      </c>
      <c r="AI48" s="1087"/>
      <c r="AJ48" s="1092"/>
      <c r="AK48" s="1092"/>
      <c r="AL48" s="1092"/>
      <c r="AM48" s="1092"/>
      <c r="AN48" s="1092"/>
    </row>
    <row r="49" spans="1:40" ht="14.1" customHeight="1" x14ac:dyDescent="0.3">
      <c r="A49" s="1117" t="s">
        <v>834</v>
      </c>
      <c r="B49" s="1077"/>
      <c r="C49" s="1077"/>
      <c r="D49" s="1077"/>
      <c r="E49" s="1127"/>
      <c r="F49" s="1127"/>
      <c r="G49" s="1127"/>
      <c r="H49" s="1127"/>
      <c r="I49" s="1127"/>
      <c r="J49" s="1127"/>
      <c r="K49" s="1080"/>
      <c r="M49" s="357"/>
      <c r="N49" s="358"/>
      <c r="O49" s="358"/>
      <c r="P49" s="358"/>
      <c r="Q49" s="1079"/>
      <c r="R49" s="358"/>
      <c r="S49" s="358"/>
      <c r="T49" s="1111">
        <f>SUM(T32:T48)</f>
        <v>4</v>
      </c>
      <c r="U49" s="1112">
        <f>SUM(U32:U48)</f>
        <v>2</v>
      </c>
      <c r="X49" s="1087"/>
      <c r="Y49" s="1100"/>
      <c r="Z49" s="1087"/>
      <c r="AA49" s="1087"/>
      <c r="AB49" s="1092"/>
      <c r="AC49" s="1092"/>
      <c r="AD49" s="1087"/>
      <c r="AE49" s="1087"/>
      <c r="AF49" s="1087"/>
      <c r="AG49" s="1100"/>
      <c r="AH49" s="1101"/>
      <c r="AI49" s="1092"/>
      <c r="AJ49" s="1092"/>
      <c r="AK49" s="1092"/>
      <c r="AL49" s="1087"/>
      <c r="AM49" s="1087"/>
      <c r="AN49" s="1087"/>
    </row>
    <row r="50" spans="1:40" ht="14.1" customHeight="1" x14ac:dyDescent="0.3">
      <c r="A50" s="1117" t="s">
        <v>1103</v>
      </c>
      <c r="B50" s="1181"/>
      <c r="C50" s="1181"/>
      <c r="D50" s="1081"/>
      <c r="E50" s="1305" t="s">
        <v>290</v>
      </c>
      <c r="F50" s="1307" t="s">
        <v>1028</v>
      </c>
      <c r="G50" s="1118">
        <f>MAX(B9:B26)</f>
        <v>500</v>
      </c>
      <c r="H50" s="1828">
        <f>ABS((G50-G51)/G50)</f>
        <v>0.1</v>
      </c>
      <c r="I50" s="1819" t="s">
        <v>15</v>
      </c>
      <c r="J50" s="1819"/>
      <c r="K50" s="1080"/>
      <c r="L50" s="1178" t="s">
        <v>545</v>
      </c>
      <c r="X50" s="1087" t="s">
        <v>351</v>
      </c>
      <c r="Y50" s="1088">
        <v>-1.3011877000000001</v>
      </c>
      <c r="Z50" s="1087" t="s">
        <v>361</v>
      </c>
      <c r="AA50" s="1088">
        <v>2.874562E-2</v>
      </c>
      <c r="AC50" s="1087" t="s">
        <v>352</v>
      </c>
      <c r="AD50" s="1089">
        <v>71.498068000000004</v>
      </c>
      <c r="AE50" s="1087" t="s">
        <v>360</v>
      </c>
      <c r="AF50" s="1087">
        <v>0.28175407000000002</v>
      </c>
      <c r="AH50" s="1087" t="s">
        <v>385</v>
      </c>
      <c r="AI50" s="1087"/>
      <c r="AJ50" s="1087"/>
      <c r="AK50" s="1087"/>
      <c r="AL50" s="1087"/>
      <c r="AM50" s="1087"/>
      <c r="AN50" s="1087"/>
    </row>
    <row r="51" spans="1:40" ht="14.1" customHeight="1" x14ac:dyDescent="0.3">
      <c r="A51" s="1117" t="s">
        <v>1104</v>
      </c>
      <c r="B51" s="1181"/>
      <c r="C51" s="1181"/>
      <c r="D51" s="1181"/>
      <c r="E51" s="1305" t="s">
        <v>291</v>
      </c>
      <c r="F51" s="1307" t="s">
        <v>1028</v>
      </c>
      <c r="G51" s="1119">
        <f>MAX(B31:B48)</f>
        <v>450</v>
      </c>
      <c r="H51" s="1828"/>
      <c r="I51" s="1308" t="s">
        <v>16</v>
      </c>
      <c r="J51" s="1308" t="s">
        <v>17</v>
      </c>
      <c r="K51" s="1080"/>
      <c r="L51" s="1178" t="s">
        <v>546</v>
      </c>
      <c r="X51" s="1087" t="s">
        <v>353</v>
      </c>
      <c r="Y51" s="1088">
        <v>-2.5840190999999998E-2</v>
      </c>
      <c r="Z51" s="1087" t="s">
        <v>363</v>
      </c>
      <c r="AA51" s="1088">
        <v>-2.5468404E-2</v>
      </c>
      <c r="AC51" s="1087" t="s">
        <v>354</v>
      </c>
      <c r="AD51" s="1087">
        <v>94.593052999999998</v>
      </c>
      <c r="AE51" s="1087" t="s">
        <v>362</v>
      </c>
      <c r="AF51" s="1087">
        <v>-1.1878455000000001</v>
      </c>
      <c r="AH51" s="1087"/>
      <c r="AI51" s="1087"/>
      <c r="AJ51" s="1090" t="s">
        <v>386</v>
      </c>
      <c r="AK51" s="1087">
        <f>(AH48-AH31)/AF48</f>
        <v>0.15357901460932064</v>
      </c>
      <c r="AL51" s="1087"/>
      <c r="AM51" s="1087"/>
      <c r="AN51" s="1087"/>
    </row>
    <row r="52" spans="1:40" ht="14.1" customHeight="1" x14ac:dyDescent="0.3">
      <c r="A52" s="1117" t="s">
        <v>1030</v>
      </c>
      <c r="B52" s="1077"/>
      <c r="C52" s="1077"/>
      <c r="D52" s="1077"/>
      <c r="E52" s="1825" t="s">
        <v>832</v>
      </c>
      <c r="F52" s="1825"/>
      <c r="G52" s="1825"/>
      <c r="H52" s="1825"/>
      <c r="I52" s="1110" t="str">
        <f>IF(H50&lt;=0.1,"X","")</f>
        <v>X</v>
      </c>
      <c r="J52" s="1110" t="str">
        <f>IF(H50&gt;0.1,"X","")</f>
        <v/>
      </c>
      <c r="K52" s="1078"/>
      <c r="X52" s="1087" t="s">
        <v>355</v>
      </c>
      <c r="Y52" s="1088">
        <v>8.0242636000000006E-2</v>
      </c>
      <c r="Z52" s="1087" t="s">
        <v>365</v>
      </c>
      <c r="AA52" s="1088">
        <v>-3.1978977000000001E-3</v>
      </c>
      <c r="AC52" s="1087" t="s">
        <v>356</v>
      </c>
      <c r="AD52" s="1087">
        <v>41.912053</v>
      </c>
      <c r="AE52" s="1087" t="s">
        <v>364</v>
      </c>
      <c r="AF52" s="1087">
        <v>-0.18014348999999999</v>
      </c>
      <c r="AH52" s="1087"/>
      <c r="AI52" s="1087"/>
      <c r="AJ52" s="1090" t="s">
        <v>387</v>
      </c>
      <c r="AK52" s="1092">
        <f>AH31</f>
        <v>63.650513471211895</v>
      </c>
      <c r="AL52" s="1087"/>
      <c r="AM52" s="1087"/>
      <c r="AN52" s="1087"/>
    </row>
    <row r="53" spans="1:40" ht="14.1" customHeight="1" x14ac:dyDescent="0.3">
      <c r="A53" s="1117" t="s">
        <v>1031</v>
      </c>
      <c r="B53" s="1077"/>
      <c r="C53" s="1077"/>
      <c r="D53" s="1077"/>
      <c r="E53" s="1160"/>
      <c r="F53" s="1160"/>
      <c r="G53" s="1160"/>
      <c r="H53" s="1160"/>
      <c r="I53" s="1161"/>
      <c r="J53" s="1161"/>
      <c r="K53" s="1078"/>
      <c r="X53" s="1087"/>
      <c r="Y53" s="1088"/>
      <c r="Z53" s="1087"/>
      <c r="AA53" s="1088"/>
      <c r="AC53" s="1087"/>
      <c r="AD53" s="1087"/>
      <c r="AE53" s="1087"/>
      <c r="AF53" s="1087"/>
      <c r="AH53" s="1087"/>
      <c r="AI53" s="1087"/>
      <c r="AJ53" s="1090"/>
      <c r="AK53" s="1092"/>
      <c r="AL53" s="1087"/>
      <c r="AM53" s="1087"/>
      <c r="AN53" s="1087"/>
    </row>
    <row r="54" spans="1:40" ht="14.1" customHeight="1" x14ac:dyDescent="0.3">
      <c r="A54" s="1117" t="s">
        <v>1089</v>
      </c>
      <c r="B54" s="1077"/>
      <c r="C54" s="1077"/>
      <c r="D54" s="1077"/>
      <c r="E54" s="1160"/>
      <c r="F54" s="1160"/>
      <c r="G54" s="1160"/>
      <c r="H54" s="1160"/>
      <c r="I54" s="1161"/>
      <c r="J54" s="1161"/>
      <c r="K54" s="1078"/>
      <c r="X54" s="1087"/>
      <c r="Y54" s="1088"/>
      <c r="Z54" s="1087"/>
      <c r="AA54" s="1088"/>
      <c r="AC54" s="1087"/>
      <c r="AD54" s="1087"/>
      <c r="AE54" s="1087"/>
      <c r="AF54" s="1087"/>
      <c r="AH54" s="1087"/>
      <c r="AI54" s="1087"/>
      <c r="AJ54" s="1090"/>
      <c r="AK54" s="1092"/>
      <c r="AL54" s="1087"/>
      <c r="AM54" s="1087"/>
      <c r="AN54" s="1087"/>
    </row>
    <row r="55" spans="1:40" ht="14.1" customHeight="1" x14ac:dyDescent="0.3">
      <c r="K55" s="1080"/>
      <c r="X55" s="1087" t="s">
        <v>357</v>
      </c>
      <c r="Y55" s="1088">
        <v>-0.10320229</v>
      </c>
      <c r="Z55" s="1087" t="s">
        <v>367</v>
      </c>
      <c r="AA55" s="1088">
        <v>1.2992634000000001E-4</v>
      </c>
      <c r="AC55" s="1087" t="s">
        <v>358</v>
      </c>
      <c r="AD55" s="1087">
        <v>9.8247003999999993</v>
      </c>
      <c r="AE55" s="1087" t="s">
        <v>366</v>
      </c>
      <c r="AF55" s="1087">
        <v>0.14710899</v>
      </c>
      <c r="AI55" s="1087"/>
      <c r="AJ55" s="1087"/>
      <c r="AK55" s="1087"/>
      <c r="AL55" s="1087"/>
      <c r="AM55" s="1087"/>
      <c r="AN55" s="1087"/>
    </row>
    <row r="56" spans="1:40" ht="14.1" customHeight="1" x14ac:dyDescent="0.3">
      <c r="A56" s="698" t="s">
        <v>778</v>
      </c>
      <c r="B56" s="698"/>
      <c r="C56" s="1159"/>
      <c r="D56" s="698"/>
      <c r="E56" s="1584"/>
      <c r="F56" s="1584"/>
      <c r="G56" s="1584"/>
      <c r="H56" s="1584"/>
      <c r="I56" s="1584"/>
      <c r="J56" s="1584"/>
      <c r="K56" s="1120"/>
      <c r="X56" s="1087"/>
      <c r="Y56" s="1088"/>
      <c r="Z56" s="1087"/>
      <c r="AA56" s="1088"/>
      <c r="AC56" s="1087"/>
      <c r="AD56" s="1087"/>
      <c r="AE56" s="1087"/>
      <c r="AF56" s="1087"/>
      <c r="AI56" s="1087"/>
      <c r="AJ56" s="1087"/>
      <c r="AK56" s="1087"/>
      <c r="AL56" s="1087"/>
      <c r="AM56" s="1087"/>
      <c r="AN56" s="1087"/>
    </row>
    <row r="57" spans="1:40" ht="14.1" customHeight="1" x14ac:dyDescent="0.3">
      <c r="A57" s="1490"/>
      <c r="B57" s="1490"/>
      <c r="C57" s="1490"/>
      <c r="D57" s="1490"/>
      <c r="E57" s="1490"/>
      <c r="F57" s="1490"/>
      <c r="G57" s="1490"/>
      <c r="H57" s="1490"/>
      <c r="I57" s="1490"/>
      <c r="J57" s="1490"/>
      <c r="K57" s="1123" t="s">
        <v>490</v>
      </c>
      <c r="L57" s="1309"/>
      <c r="X57" s="1087" t="s">
        <v>359</v>
      </c>
      <c r="Y57" s="1088">
        <v>0.13646699000000001</v>
      </c>
      <c r="Z57" s="1087" t="s">
        <v>369</v>
      </c>
      <c r="AA57" s="1088">
        <v>1.3635334E-3</v>
      </c>
      <c r="AE57" s="1087" t="s">
        <v>368</v>
      </c>
      <c r="AF57" s="1087">
        <v>-1.7046845000000001E-2</v>
      </c>
      <c r="AI57" s="1087"/>
      <c r="AJ57" s="1087"/>
      <c r="AK57" s="1087"/>
      <c r="AL57" s="1095"/>
      <c r="AM57" s="1095"/>
      <c r="AN57" s="1095"/>
    </row>
    <row r="58" spans="1:40" ht="14.1" customHeight="1" x14ac:dyDescent="0.3">
      <c r="A58" s="1490"/>
      <c r="B58" s="1490"/>
      <c r="C58" s="1490"/>
      <c r="D58" s="1490"/>
      <c r="E58" s="1490"/>
      <c r="F58" s="1490"/>
      <c r="G58" s="1490"/>
      <c r="H58" s="1490"/>
      <c r="I58" s="1490"/>
      <c r="J58" s="1490"/>
      <c r="K58" s="1083">
        <f>IF(J29="",COUNTIF(J25:J26,"X"),+COUNTIF(J52,"X")+COUNTIF(J47:J48,"X")+COUNTIF(J25:J26,"X"))</f>
        <v>3</v>
      </c>
      <c r="L58" s="1082"/>
      <c r="X58" s="1087"/>
      <c r="Y58" s="1088"/>
      <c r="Z58" s="1087"/>
      <c r="AA58" s="1088"/>
      <c r="AE58" s="1087"/>
      <c r="AF58" s="1087"/>
      <c r="AI58" s="1087"/>
      <c r="AJ58" s="1087"/>
      <c r="AK58" s="1087"/>
      <c r="AL58" s="1095"/>
      <c r="AM58" s="1095"/>
      <c r="AN58" s="1095"/>
    </row>
    <row r="59" spans="1:40" ht="14.1" customHeight="1" x14ac:dyDescent="0.3">
      <c r="F59" s="1073"/>
      <c r="L59" s="1082"/>
    </row>
  </sheetData>
  <sheetProtection algorithmName="SHA-512" hashValue="dZMrxve7h7J0wikgXMcRuI/MnIdh0cgr/kbc62ezmBDVFMzIHZ411DSvNwrobPCYBtibkc+AJXpqvnTu4OVQiw==" saltValue="wNnoHYlG+vSGbgff9LghYA==" spinCount="100000" sheet="1" objects="1" scenarios="1"/>
  <mergeCells count="22">
    <mergeCell ref="H4:J4"/>
    <mergeCell ref="H5:J5"/>
    <mergeCell ref="A7:B7"/>
    <mergeCell ref="D7:G7"/>
    <mergeCell ref="F23:F24"/>
    <mergeCell ref="G23:G24"/>
    <mergeCell ref="H23:H24"/>
    <mergeCell ref="I23:J23"/>
    <mergeCell ref="F26:H26"/>
    <mergeCell ref="A29:B29"/>
    <mergeCell ref="D29:G29"/>
    <mergeCell ref="F45:F46"/>
    <mergeCell ref="G45:G46"/>
    <mergeCell ref="H45:H46"/>
    <mergeCell ref="A57:J57"/>
    <mergeCell ref="A58:J58"/>
    <mergeCell ref="I45:J45"/>
    <mergeCell ref="F48:H48"/>
    <mergeCell ref="H50:H51"/>
    <mergeCell ref="I50:J50"/>
    <mergeCell ref="E52:H52"/>
    <mergeCell ref="E56:J56"/>
  </mergeCells>
  <conditionalFormatting sqref="G47">
    <cfRule type="cellIs" dxfId="34" priority="23" operator="lessThan">
      <formula>1</formula>
    </cfRule>
    <cfRule type="cellIs" dxfId="33" priority="24" operator="lessThan">
      <formula>0.9</formula>
    </cfRule>
    <cfRule type="cellIs" dxfId="32" priority="26" operator="lessThan">
      <formula>1</formula>
    </cfRule>
  </conditionalFormatting>
  <conditionalFormatting sqref="G47">
    <cfRule type="cellIs" dxfId="31" priority="25" operator="lessThan">
      <formula>1</formula>
    </cfRule>
  </conditionalFormatting>
  <conditionalFormatting sqref="H50">
    <cfRule type="cellIs" dxfId="30" priority="21" operator="greaterThan">
      <formula>0.1</formula>
    </cfRule>
    <cfRule type="cellIs" dxfId="29" priority="22" operator="greaterThan">
      <formula>0.1</formula>
    </cfRule>
  </conditionalFormatting>
  <conditionalFormatting sqref="B31:B48">
    <cfRule type="expression" dxfId="28" priority="20" stopIfTrue="1">
      <formula>$J$29=""</formula>
    </cfRule>
  </conditionalFormatting>
  <conditionalFormatting sqref="C9:C26">
    <cfRule type="cellIs" dxfId="27" priority="17" operator="notBetween">
      <formula>-0.2</formula>
      <formula>0.2</formula>
    </cfRule>
    <cfRule type="expression" priority="18" stopIfTrue="1">
      <formula>$J$7=$Q$5</formula>
    </cfRule>
    <cfRule type="cellIs" dxfId="26" priority="19" operator="notBetween">
      <formula>-0.1</formula>
      <formula>0.1</formula>
    </cfRule>
  </conditionalFormatting>
  <conditionalFormatting sqref="C31:C48">
    <cfRule type="cellIs" dxfId="25" priority="14" operator="notBetween">
      <formula>-0.2</formula>
      <formula>0.2</formula>
    </cfRule>
    <cfRule type="expression" priority="15" stopIfTrue="1">
      <formula>$J$29=$Q$5</formula>
    </cfRule>
    <cfRule type="cellIs" dxfId="24" priority="16" operator="notBetween">
      <formula>-0.1</formula>
      <formula>0.1</formula>
    </cfRule>
  </conditionalFormatting>
  <conditionalFormatting sqref="H25">
    <cfRule type="cellIs" dxfId="23" priority="4" operator="lessThan">
      <formula>250</formula>
    </cfRule>
    <cfRule type="expression" priority="12" stopIfTrue="1">
      <formula>$J$7=$Q$5</formula>
    </cfRule>
    <cfRule type="cellIs" dxfId="22" priority="13" stopIfTrue="1" operator="notBetween">
      <formula>350</formula>
      <formula>450</formula>
    </cfRule>
  </conditionalFormatting>
  <conditionalFormatting sqref="H47">
    <cfRule type="cellIs" dxfId="21" priority="1" operator="lessThan">
      <formula>250</formula>
    </cfRule>
    <cfRule type="expression" priority="10">
      <formula>$J$29=$Q$5</formula>
    </cfRule>
    <cfRule type="cellIs" dxfId="20" priority="11" stopIfTrue="1" operator="notBetween">
      <formula>350</formula>
      <formula>450</formula>
    </cfRule>
  </conditionalFormatting>
  <conditionalFormatting sqref="F47">
    <cfRule type="cellIs" dxfId="19" priority="2" operator="lessThan">
      <formula>250</formula>
    </cfRule>
    <cfRule type="expression" priority="8" stopIfTrue="1">
      <formula>$J$29=$Q$5</formula>
    </cfRule>
    <cfRule type="cellIs" dxfId="18" priority="9" operator="lessThan">
      <formula>420</formula>
    </cfRule>
  </conditionalFormatting>
  <conditionalFormatting sqref="F25">
    <cfRule type="cellIs" dxfId="17" priority="3" operator="lessThan">
      <formula>250</formula>
    </cfRule>
    <cfRule type="expression" priority="6" stopIfTrue="1">
      <formula>$J$7=$Q$5</formula>
    </cfRule>
    <cfRule type="cellIs" dxfId="16" priority="7" operator="lessThan">
      <formula>420</formula>
    </cfRule>
  </conditionalFormatting>
  <conditionalFormatting sqref="G25">
    <cfRule type="cellIs" dxfId="15" priority="5" operator="lessThan">
      <formula>1</formula>
    </cfRule>
  </conditionalFormatting>
  <dataValidations count="3">
    <dataValidation type="list" allowBlank="1" showInputMessage="1" showErrorMessage="1" sqref="H4:J4" xr:uid="{0221D3A8-811A-4639-A980-23A9A94D0D56}">
      <formula1>$L$2:$L$18</formula1>
    </dataValidation>
    <dataValidation type="list" allowBlank="1" showInputMessage="1" showErrorMessage="1" sqref="J7 J29" xr:uid="{CD7DA52B-AE34-42AD-BF44-3A4D0F353039}">
      <formula1>$Q$4:$Q$6</formula1>
    </dataValidation>
    <dataValidation type="list" allowBlank="1" showInputMessage="1" showErrorMessage="1" sqref="H7 H29" xr:uid="{2780A224-B87A-41F7-94DB-344B063B2525}">
      <formula1>$P$4:$P$8</formula1>
    </dataValidation>
  </dataValidations>
  <printOptions horizontalCentered="1"/>
  <pageMargins left="0.70866141732283472" right="0.70866141732283472" top="0.74803149606299213" bottom="0.74803149606299213" header="0.31496062992125984" footer="0.31496062992125984"/>
  <pageSetup paperSize="120" scale="88" orientation="portrait" r:id="rId1"/>
  <headerFooter>
    <oddFooter>&amp;CPage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22FEA4-0F54-4E41-850F-EC798F839925}">
          <x14:formula1>
            <xm:f>'2.14 abMON'!$K$21:$K$28</xm:f>
          </x14:formula1>
          <xm:sqref>I29 I7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euil16">
    <tabColor theme="3" tint="-0.249977111117893"/>
    <pageSetUpPr fitToPage="1"/>
  </sheetPr>
  <dimension ref="A1:XFD53"/>
  <sheetViews>
    <sheetView topLeftCell="A21" zoomScaleNormal="100" workbookViewId="0">
      <selection activeCell="B9" sqref="B9:C9"/>
    </sheetView>
  </sheetViews>
  <sheetFormatPr baseColWidth="10" defaultColWidth="10.6640625" defaultRowHeight="14.4" x14ac:dyDescent="0.3"/>
  <cols>
    <col min="1" max="1" width="31.33203125" style="50" customWidth="1"/>
    <col min="2" max="8" width="10.6640625" style="50"/>
    <col min="9" max="9" width="5.5546875" style="50" customWidth="1"/>
    <col min="10" max="16384" width="10.6640625" style="50"/>
  </cols>
  <sheetData>
    <row r="1" spans="1:16384" x14ac:dyDescent="0.3">
      <c r="A1" s="761" t="s">
        <v>753</v>
      </c>
      <c r="B1" s="54" t="str">
        <f>+Info!C10</f>
        <v>Clinique Ste-Mammo</v>
      </c>
      <c r="C1" s="55"/>
      <c r="D1" s="55"/>
      <c r="E1" s="56" t="s">
        <v>755</v>
      </c>
      <c r="F1" s="55"/>
      <c r="G1" s="55"/>
      <c r="H1" s="57" t="str">
        <f>+Info!C37</f>
        <v>20-01-2020</v>
      </c>
      <c r="I1" s="769"/>
      <c r="J1" s="75"/>
      <c r="K1" s="75"/>
      <c r="L1" s="75"/>
    </row>
    <row r="2" spans="1:16384" x14ac:dyDescent="0.3">
      <c r="A2" s="695" t="s">
        <v>754</v>
      </c>
      <c r="B2" s="59" t="str">
        <f>+Info!C21</f>
        <v>Salle 2, Hirad IV</v>
      </c>
      <c r="C2" s="51"/>
      <c r="D2" s="51"/>
      <c r="E2" s="60" t="s">
        <v>756</v>
      </c>
      <c r="F2" s="51"/>
      <c r="G2" s="51"/>
      <c r="H2" s="61" t="str">
        <f>+Info!C35</f>
        <v>Alexandre Toussaint</v>
      </c>
      <c r="I2" s="769"/>
      <c r="J2" s="75"/>
      <c r="K2" s="75"/>
      <c r="L2" s="75"/>
    </row>
    <row r="3" spans="1:16384" x14ac:dyDescent="0.3">
      <c r="A3" s="88" t="s">
        <v>305</v>
      </c>
      <c r="B3" s="52"/>
      <c r="C3" s="52"/>
      <c r="D3" s="52"/>
      <c r="E3" s="52"/>
      <c r="F3" s="52"/>
      <c r="G3" s="52"/>
      <c r="H3" s="52"/>
      <c r="I3" s="78"/>
      <c r="J3" s="75"/>
      <c r="K3" s="174" t="s">
        <v>200</v>
      </c>
      <c r="L3" s="75"/>
    </row>
    <row r="4" spans="1:16384" x14ac:dyDescent="0.3">
      <c r="A4" s="205" t="s">
        <v>839</v>
      </c>
      <c r="B4" s="770"/>
      <c r="C4" s="770"/>
      <c r="D4" s="828"/>
      <c r="E4" s="770"/>
      <c r="F4" s="770"/>
      <c r="G4" s="52"/>
      <c r="H4" s="52"/>
      <c r="I4" s="78"/>
      <c r="J4" s="75"/>
      <c r="K4" s="771" t="s">
        <v>66</v>
      </c>
      <c r="L4" s="75"/>
    </row>
    <row r="5" spans="1:16384" x14ac:dyDescent="0.3">
      <c r="A5" s="72"/>
      <c r="B5" s="770"/>
      <c r="C5" s="770"/>
      <c r="D5" s="770"/>
      <c r="E5" s="770"/>
      <c r="F5" s="770"/>
      <c r="G5" s="52"/>
      <c r="H5" s="52"/>
      <c r="I5" s="78"/>
      <c r="J5" s="75"/>
      <c r="K5" s="771" t="s">
        <v>123</v>
      </c>
      <c r="L5" s="75"/>
    </row>
    <row r="6" spans="1:16384" x14ac:dyDescent="0.3">
      <c r="A6" s="221" t="s">
        <v>843</v>
      </c>
      <c r="B6" s="1490" t="s">
        <v>538</v>
      </c>
      <c r="C6" s="1490"/>
      <c r="D6" s="221" t="s">
        <v>840</v>
      </c>
      <c r="E6" s="1490" t="s">
        <v>471</v>
      </c>
      <c r="F6" s="1490"/>
      <c r="G6" s="225"/>
      <c r="H6" s="52"/>
      <c r="I6" s="78"/>
      <c r="J6" s="75"/>
      <c r="K6" s="772" t="s">
        <v>912</v>
      </c>
      <c r="L6" s="75"/>
    </row>
    <row r="7" spans="1:16384" x14ac:dyDescent="0.3">
      <c r="A7" s="221" t="s">
        <v>844</v>
      </c>
      <c r="B7" s="1490">
        <v>234568</v>
      </c>
      <c r="C7" s="1490"/>
      <c r="D7" s="221" t="s">
        <v>841</v>
      </c>
      <c r="E7" s="1585">
        <v>0</v>
      </c>
      <c r="F7" s="1585"/>
      <c r="G7" s="225"/>
      <c r="H7" s="52"/>
      <c r="I7" s="78"/>
      <c r="J7" s="75"/>
      <c r="K7" s="771" t="s">
        <v>124</v>
      </c>
      <c r="L7" s="75"/>
    </row>
    <row r="8" spans="1:16384" x14ac:dyDescent="0.3">
      <c r="A8" s="221" t="s">
        <v>760</v>
      </c>
      <c r="B8" s="1490">
        <v>650</v>
      </c>
      <c r="C8" s="1490"/>
      <c r="D8" s="221" t="s">
        <v>842</v>
      </c>
      <c r="E8" s="1585" t="s">
        <v>537</v>
      </c>
      <c r="F8" s="1585"/>
      <c r="G8" s="225"/>
      <c r="H8" s="52"/>
      <c r="I8" s="78"/>
      <c r="J8" s="75"/>
      <c r="K8" s="771" t="s">
        <v>202</v>
      </c>
      <c r="L8" s="75"/>
    </row>
    <row r="9" spans="1:16384" x14ac:dyDescent="0.3">
      <c r="A9" s="221" t="s">
        <v>845</v>
      </c>
      <c r="B9" s="1830" t="s">
        <v>66</v>
      </c>
      <c r="C9" s="1830"/>
      <c r="D9" s="70"/>
      <c r="E9" s="1585"/>
      <c r="F9" s="1585"/>
      <c r="G9" s="225"/>
      <c r="H9" s="52"/>
      <c r="I9" s="78"/>
      <c r="J9" s="75"/>
      <c r="K9" s="771" t="s">
        <v>203</v>
      </c>
      <c r="L9" s="75"/>
    </row>
    <row r="10" spans="1:16384" x14ac:dyDescent="0.3">
      <c r="A10" s="52"/>
      <c r="B10" s="52"/>
      <c r="C10" s="52"/>
      <c r="D10" s="52"/>
      <c r="E10" s="52"/>
      <c r="F10" s="52"/>
      <c r="G10" s="52"/>
      <c r="H10" s="52"/>
      <c r="I10" s="78"/>
      <c r="J10" s="75"/>
      <c r="K10" s="771" t="s">
        <v>204</v>
      </c>
      <c r="L10" s="75"/>
    </row>
    <row r="11" spans="1:16384" ht="27.75" customHeight="1" x14ac:dyDescent="0.3">
      <c r="A11" s="773" t="s">
        <v>306</v>
      </c>
      <c r="B11" s="555" t="s">
        <v>692</v>
      </c>
      <c r="C11" s="559" t="s">
        <v>70</v>
      </c>
      <c r="D11" s="559" t="s">
        <v>196</v>
      </c>
      <c r="E11" s="774" t="s">
        <v>161</v>
      </c>
      <c r="F11" s="775" t="s">
        <v>307</v>
      </c>
      <c r="G11" s="1711" t="s">
        <v>65</v>
      </c>
      <c r="H11" s="1711"/>
      <c r="I11" s="744"/>
      <c r="J11" s="955"/>
      <c r="K11" s="956"/>
      <c r="L11" s="956"/>
      <c r="M11" s="956"/>
      <c r="N11" s="914"/>
    </row>
    <row r="12" spans="1:16384" ht="14.1" customHeight="1" x14ac:dyDescent="0.3">
      <c r="A12" s="776" t="s">
        <v>727</v>
      </c>
      <c r="B12" s="332" t="s">
        <v>1043</v>
      </c>
      <c r="C12" s="360">
        <v>28</v>
      </c>
      <c r="D12" s="360">
        <v>50</v>
      </c>
      <c r="E12" s="361">
        <v>680</v>
      </c>
      <c r="F12" s="362">
        <v>20</v>
      </c>
      <c r="G12" s="1846"/>
      <c r="H12" s="1846"/>
      <c r="I12" s="744"/>
      <c r="J12" s="955"/>
      <c r="K12" s="956"/>
      <c r="L12" s="956"/>
      <c r="M12" s="956"/>
      <c r="N12" s="914"/>
      <c r="Z12" s="777"/>
      <c r="AA12" s="778"/>
      <c r="AB12" s="779"/>
      <c r="AC12" s="780"/>
      <c r="AD12" s="781"/>
      <c r="AE12" s="782"/>
      <c r="AF12" s="782"/>
      <c r="AG12" s="777"/>
      <c r="AH12" s="778"/>
      <c r="AI12" s="779"/>
      <c r="AJ12" s="780"/>
      <c r="AK12" s="781"/>
      <c r="AL12" s="782"/>
      <c r="AM12" s="782"/>
      <c r="AN12" s="777"/>
      <c r="AO12" s="778"/>
      <c r="AP12" s="779"/>
      <c r="AQ12" s="780"/>
      <c r="AR12" s="781"/>
      <c r="AS12" s="782"/>
      <c r="AT12" s="782"/>
      <c r="AU12" s="777"/>
      <c r="AV12" s="778"/>
      <c r="AW12" s="779"/>
      <c r="AX12" s="780"/>
      <c r="AY12" s="781"/>
      <c r="AZ12" s="782"/>
      <c r="BA12" s="782"/>
      <c r="BB12" s="777"/>
      <c r="BC12" s="778"/>
      <c r="BD12" s="779"/>
      <c r="BE12" s="780"/>
      <c r="BF12" s="781"/>
      <c r="BG12" s="782"/>
      <c r="BH12" s="782"/>
      <c r="BI12" s="777"/>
      <c r="BJ12" s="778"/>
      <c r="BK12" s="779"/>
      <c r="BL12" s="780"/>
      <c r="BM12" s="781"/>
      <c r="BN12" s="782"/>
      <c r="BO12" s="782"/>
      <c r="BP12" s="777"/>
      <c r="BQ12" s="778"/>
      <c r="BR12" s="779"/>
      <c r="BS12" s="780"/>
      <c r="BT12" s="781"/>
      <c r="BU12" s="782"/>
      <c r="BV12" s="782"/>
      <c r="BW12" s="777"/>
      <c r="BX12" s="778"/>
      <c r="BY12" s="779"/>
      <c r="BZ12" s="780"/>
      <c r="CA12" s="781"/>
      <c r="CB12" s="782"/>
      <c r="CC12" s="782"/>
      <c r="CD12" s="777"/>
      <c r="CE12" s="778"/>
      <c r="CF12" s="779"/>
      <c r="CG12" s="780"/>
      <c r="CH12" s="781"/>
      <c r="CI12" s="782"/>
      <c r="CJ12" s="782"/>
      <c r="CK12" s="777"/>
      <c r="CL12" s="778"/>
      <c r="CM12" s="779"/>
      <c r="CN12" s="780"/>
      <c r="CO12" s="781"/>
      <c r="CP12" s="782"/>
      <c r="CQ12" s="782"/>
      <c r="CR12" s="777"/>
      <c r="CS12" s="778"/>
      <c r="CT12" s="779"/>
      <c r="CU12" s="780"/>
      <c r="CV12" s="781"/>
      <c r="CW12" s="782"/>
      <c r="CX12" s="782"/>
      <c r="CY12" s="777"/>
      <c r="CZ12" s="778"/>
      <c r="DA12" s="779"/>
      <c r="DB12" s="780"/>
      <c r="DC12" s="781"/>
      <c r="DD12" s="782"/>
      <c r="DE12" s="782"/>
      <c r="DF12" s="777"/>
      <c r="DG12" s="778"/>
      <c r="DH12" s="779"/>
      <c r="DI12" s="780"/>
      <c r="DJ12" s="781"/>
      <c r="DK12" s="782"/>
      <c r="DL12" s="782"/>
      <c r="DM12" s="777"/>
      <c r="DN12" s="778"/>
      <c r="DO12" s="779"/>
      <c r="DP12" s="780"/>
      <c r="DQ12" s="781"/>
      <c r="DR12" s="782"/>
      <c r="DS12" s="782"/>
      <c r="DT12" s="777"/>
      <c r="DU12" s="778"/>
      <c r="DV12" s="779"/>
      <c r="DW12" s="780"/>
      <c r="DX12" s="781"/>
      <c r="DY12" s="782"/>
      <c r="DZ12" s="782"/>
      <c r="EA12" s="777"/>
      <c r="EB12" s="778"/>
      <c r="EC12" s="779"/>
      <c r="ED12" s="780"/>
      <c r="EE12" s="781"/>
      <c r="EF12" s="782"/>
      <c r="EG12" s="782"/>
      <c r="EH12" s="777"/>
      <c r="EI12" s="778"/>
      <c r="EJ12" s="779"/>
      <c r="EK12" s="780"/>
      <c r="EL12" s="781"/>
      <c r="EM12" s="782"/>
      <c r="EN12" s="782"/>
      <c r="EO12" s="777"/>
      <c r="EP12" s="778"/>
      <c r="EQ12" s="779"/>
      <c r="ER12" s="780"/>
      <c r="ES12" s="781"/>
      <c r="ET12" s="782"/>
      <c r="EU12" s="782"/>
      <c r="EV12" s="777"/>
      <c r="EW12" s="778"/>
      <c r="EX12" s="779"/>
      <c r="EY12" s="780"/>
      <c r="EZ12" s="781"/>
      <c r="FA12" s="782"/>
      <c r="FB12" s="782"/>
      <c r="FC12" s="777"/>
      <c r="FD12" s="778"/>
      <c r="FE12" s="779"/>
      <c r="FF12" s="780"/>
      <c r="FG12" s="781"/>
      <c r="FH12" s="782"/>
      <c r="FI12" s="782"/>
      <c r="FJ12" s="777"/>
      <c r="FK12" s="778"/>
      <c r="FL12" s="779"/>
      <c r="FM12" s="780"/>
      <c r="FN12" s="781"/>
      <c r="FO12" s="782"/>
      <c r="FP12" s="782"/>
      <c r="FQ12" s="777"/>
      <c r="FR12" s="778"/>
      <c r="FS12" s="779"/>
      <c r="FT12" s="780"/>
      <c r="FU12" s="781"/>
      <c r="FV12" s="782"/>
      <c r="FW12" s="782"/>
      <c r="FX12" s="777"/>
      <c r="FY12" s="778"/>
      <c r="FZ12" s="779"/>
      <c r="GA12" s="780"/>
      <c r="GB12" s="781"/>
      <c r="GC12" s="782"/>
      <c r="GD12" s="782"/>
      <c r="GE12" s="777"/>
      <c r="GF12" s="778"/>
      <c r="GG12" s="779"/>
      <c r="GH12" s="780"/>
      <c r="GI12" s="781"/>
      <c r="GJ12" s="782"/>
      <c r="GK12" s="782"/>
      <c r="GL12" s="777"/>
      <c r="GM12" s="778"/>
      <c r="GN12" s="779"/>
      <c r="GO12" s="780"/>
      <c r="GP12" s="781"/>
      <c r="GQ12" s="782"/>
      <c r="GR12" s="782"/>
      <c r="GS12" s="777"/>
      <c r="GT12" s="778"/>
      <c r="GU12" s="779"/>
      <c r="GV12" s="780"/>
      <c r="GW12" s="781"/>
      <c r="GX12" s="782"/>
      <c r="GY12" s="782"/>
      <c r="GZ12" s="777"/>
      <c r="HA12" s="778"/>
      <c r="HB12" s="779"/>
      <c r="HC12" s="780"/>
      <c r="HD12" s="781"/>
      <c r="HE12" s="782"/>
      <c r="HF12" s="782"/>
      <c r="HG12" s="777"/>
      <c r="HH12" s="778"/>
      <c r="HI12" s="779"/>
      <c r="HJ12" s="780"/>
      <c r="HK12" s="781"/>
      <c r="HL12" s="782"/>
      <c r="HM12" s="782"/>
      <c r="HN12" s="777"/>
      <c r="HO12" s="778"/>
      <c r="HP12" s="779"/>
      <c r="HQ12" s="780"/>
      <c r="HR12" s="781"/>
      <c r="HS12" s="782"/>
      <c r="HT12" s="782"/>
      <c r="HU12" s="777"/>
      <c r="HV12" s="778"/>
      <c r="HW12" s="779"/>
      <c r="HX12" s="780"/>
      <c r="HY12" s="781"/>
      <c r="HZ12" s="782"/>
      <c r="IA12" s="782"/>
      <c r="IB12" s="777"/>
      <c r="IC12" s="778"/>
      <c r="ID12" s="779"/>
      <c r="IE12" s="780"/>
      <c r="IF12" s="781"/>
      <c r="IG12" s="782"/>
      <c r="IH12" s="782"/>
      <c r="II12" s="777"/>
      <c r="IJ12" s="778"/>
      <c r="IK12" s="779"/>
      <c r="IL12" s="780"/>
      <c r="IM12" s="781"/>
      <c r="IN12" s="782"/>
      <c r="IO12" s="782"/>
      <c r="IP12" s="777"/>
      <c r="IQ12" s="778"/>
      <c r="IR12" s="779"/>
      <c r="IS12" s="780"/>
      <c r="IT12" s="781"/>
      <c r="IU12" s="782"/>
      <c r="IV12" s="782"/>
      <c r="IW12" s="777"/>
      <c r="IX12" s="778"/>
      <c r="IY12" s="779"/>
      <c r="IZ12" s="780"/>
      <c r="JA12" s="781"/>
      <c r="JB12" s="782"/>
      <c r="JC12" s="782"/>
      <c r="JD12" s="777"/>
      <c r="JE12" s="778"/>
      <c r="JF12" s="779"/>
      <c r="JG12" s="780"/>
      <c r="JH12" s="781"/>
      <c r="JI12" s="782"/>
      <c r="JJ12" s="782"/>
      <c r="JK12" s="777"/>
      <c r="JL12" s="778"/>
      <c r="JM12" s="779"/>
      <c r="JN12" s="780"/>
      <c r="JO12" s="781"/>
      <c r="JP12" s="782"/>
      <c r="JQ12" s="782"/>
      <c r="JR12" s="777"/>
      <c r="JS12" s="778"/>
      <c r="JT12" s="779"/>
      <c r="JU12" s="780"/>
      <c r="JV12" s="781"/>
      <c r="JW12" s="782"/>
      <c r="JX12" s="782"/>
      <c r="JY12" s="777"/>
      <c r="JZ12" s="778"/>
      <c r="KA12" s="779"/>
      <c r="KB12" s="780"/>
      <c r="KC12" s="781"/>
      <c r="KD12" s="782"/>
      <c r="KE12" s="782"/>
      <c r="KF12" s="777"/>
      <c r="KG12" s="778"/>
      <c r="KH12" s="779"/>
      <c r="KI12" s="780"/>
      <c r="KJ12" s="781"/>
      <c r="KK12" s="782"/>
      <c r="KL12" s="782"/>
      <c r="KM12" s="777"/>
      <c r="KN12" s="778"/>
      <c r="KO12" s="779"/>
      <c r="KP12" s="780"/>
      <c r="KQ12" s="781"/>
      <c r="KR12" s="782"/>
      <c r="KS12" s="782"/>
      <c r="KT12" s="777"/>
      <c r="KU12" s="778"/>
      <c r="KV12" s="779"/>
      <c r="KW12" s="780"/>
      <c r="KX12" s="781"/>
      <c r="KY12" s="782"/>
      <c r="KZ12" s="782"/>
      <c r="LA12" s="777"/>
      <c r="LB12" s="778"/>
      <c r="LC12" s="779"/>
      <c r="LD12" s="780"/>
      <c r="LE12" s="781"/>
      <c r="LF12" s="782"/>
      <c r="LG12" s="782"/>
      <c r="LH12" s="777"/>
      <c r="LI12" s="778"/>
      <c r="LJ12" s="779"/>
      <c r="LK12" s="780"/>
      <c r="LL12" s="781"/>
      <c r="LM12" s="782"/>
      <c r="LN12" s="782"/>
      <c r="LO12" s="777"/>
      <c r="LP12" s="778"/>
      <c r="LQ12" s="779"/>
      <c r="LR12" s="780"/>
      <c r="LS12" s="781"/>
      <c r="LT12" s="782"/>
      <c r="LU12" s="782"/>
      <c r="LV12" s="777"/>
      <c r="LW12" s="778"/>
      <c r="LX12" s="779"/>
      <c r="LY12" s="780"/>
      <c r="LZ12" s="781"/>
      <c r="MA12" s="782"/>
      <c r="MB12" s="782"/>
      <c r="MC12" s="777"/>
      <c r="MD12" s="778"/>
      <c r="ME12" s="779"/>
      <c r="MF12" s="780"/>
      <c r="MG12" s="781"/>
      <c r="MH12" s="782"/>
      <c r="MI12" s="782"/>
      <c r="MJ12" s="777"/>
      <c r="MK12" s="778"/>
      <c r="ML12" s="779"/>
      <c r="MM12" s="780"/>
      <c r="MN12" s="781"/>
      <c r="MO12" s="782"/>
      <c r="MP12" s="782"/>
      <c r="MQ12" s="777"/>
      <c r="MR12" s="778"/>
      <c r="MS12" s="779"/>
      <c r="MT12" s="780"/>
      <c r="MU12" s="781"/>
      <c r="MV12" s="782"/>
      <c r="MW12" s="782"/>
      <c r="MX12" s="777"/>
      <c r="MY12" s="778"/>
      <c r="MZ12" s="779"/>
      <c r="NA12" s="780"/>
      <c r="NB12" s="781"/>
      <c r="NC12" s="782"/>
      <c r="ND12" s="782"/>
      <c r="NE12" s="777"/>
      <c r="NF12" s="778"/>
      <c r="NG12" s="779"/>
      <c r="NH12" s="780"/>
      <c r="NI12" s="781"/>
      <c r="NJ12" s="782"/>
      <c r="NK12" s="782"/>
      <c r="NL12" s="777"/>
      <c r="NM12" s="778"/>
      <c r="NN12" s="779"/>
      <c r="NO12" s="780"/>
      <c r="NP12" s="781"/>
      <c r="NQ12" s="782"/>
      <c r="NR12" s="782"/>
      <c r="NS12" s="777"/>
      <c r="NT12" s="778"/>
      <c r="NU12" s="779"/>
      <c r="NV12" s="780"/>
      <c r="NW12" s="781"/>
      <c r="NX12" s="782"/>
      <c r="NY12" s="782"/>
      <c r="NZ12" s="777"/>
      <c r="OA12" s="778"/>
      <c r="OB12" s="779"/>
      <c r="OC12" s="780"/>
      <c r="OD12" s="781"/>
      <c r="OE12" s="782"/>
      <c r="OF12" s="782"/>
      <c r="OG12" s="777"/>
      <c r="OH12" s="778"/>
      <c r="OI12" s="779"/>
      <c r="OJ12" s="780"/>
      <c r="OK12" s="781"/>
      <c r="OL12" s="782"/>
      <c r="OM12" s="782"/>
      <c r="ON12" s="777"/>
      <c r="OO12" s="778"/>
      <c r="OP12" s="779"/>
      <c r="OQ12" s="780"/>
      <c r="OR12" s="781"/>
      <c r="OS12" s="782"/>
      <c r="OT12" s="782"/>
      <c r="OU12" s="777"/>
      <c r="OV12" s="778"/>
      <c r="OW12" s="779"/>
      <c r="OX12" s="780"/>
      <c r="OY12" s="781"/>
      <c r="OZ12" s="782"/>
      <c r="PA12" s="782"/>
      <c r="PB12" s="777"/>
      <c r="PC12" s="778"/>
      <c r="PD12" s="779"/>
      <c r="PE12" s="780"/>
      <c r="PF12" s="781"/>
      <c r="PG12" s="782"/>
      <c r="PH12" s="782"/>
      <c r="PI12" s="777"/>
      <c r="PJ12" s="778"/>
      <c r="PK12" s="779"/>
      <c r="PL12" s="780"/>
      <c r="PM12" s="781"/>
      <c r="PN12" s="782"/>
      <c r="PO12" s="782"/>
      <c r="PP12" s="777"/>
      <c r="PQ12" s="778"/>
      <c r="PR12" s="779"/>
      <c r="PS12" s="780"/>
      <c r="PT12" s="781"/>
      <c r="PU12" s="782"/>
      <c r="PV12" s="782"/>
      <c r="PW12" s="777"/>
      <c r="PX12" s="778"/>
      <c r="PY12" s="779"/>
      <c r="PZ12" s="780"/>
      <c r="QA12" s="781"/>
      <c r="QB12" s="782"/>
      <c r="QC12" s="782"/>
      <c r="QD12" s="777"/>
      <c r="QE12" s="778"/>
      <c r="QF12" s="779"/>
      <c r="QG12" s="780"/>
      <c r="QH12" s="781"/>
      <c r="QI12" s="782"/>
      <c r="QJ12" s="782"/>
      <c r="QK12" s="777"/>
      <c r="QL12" s="778"/>
      <c r="QM12" s="779"/>
      <c r="QN12" s="780"/>
      <c r="QO12" s="781"/>
      <c r="QP12" s="782"/>
      <c r="QQ12" s="782"/>
      <c r="QR12" s="777"/>
      <c r="QS12" s="778"/>
      <c r="QT12" s="779"/>
      <c r="QU12" s="780"/>
      <c r="QV12" s="781"/>
      <c r="QW12" s="782"/>
      <c r="QX12" s="782"/>
      <c r="QY12" s="777"/>
      <c r="QZ12" s="778"/>
      <c r="RA12" s="779"/>
      <c r="RB12" s="780"/>
      <c r="RC12" s="781"/>
      <c r="RD12" s="782"/>
      <c r="RE12" s="782"/>
      <c r="RF12" s="777"/>
      <c r="RG12" s="778"/>
      <c r="RH12" s="779"/>
      <c r="RI12" s="780"/>
      <c r="RJ12" s="781"/>
      <c r="RK12" s="782"/>
      <c r="RL12" s="782"/>
      <c r="RM12" s="777"/>
      <c r="RN12" s="778"/>
      <c r="RO12" s="779"/>
      <c r="RP12" s="780"/>
      <c r="RQ12" s="781"/>
      <c r="RR12" s="782"/>
      <c r="RS12" s="782"/>
      <c r="RT12" s="777"/>
      <c r="RU12" s="778"/>
      <c r="RV12" s="779"/>
      <c r="RW12" s="780"/>
      <c r="RX12" s="781"/>
      <c r="RY12" s="782"/>
      <c r="RZ12" s="782"/>
      <c r="SA12" s="777"/>
      <c r="SB12" s="778"/>
      <c r="SC12" s="779"/>
      <c r="SD12" s="780"/>
      <c r="SE12" s="781"/>
      <c r="SF12" s="782"/>
      <c r="SG12" s="782"/>
      <c r="SH12" s="777"/>
      <c r="SI12" s="778"/>
      <c r="SJ12" s="779"/>
      <c r="SK12" s="780"/>
      <c r="SL12" s="781"/>
      <c r="SM12" s="782"/>
      <c r="SN12" s="782"/>
      <c r="SO12" s="777"/>
      <c r="SP12" s="778"/>
      <c r="SQ12" s="779"/>
      <c r="SR12" s="780"/>
      <c r="SS12" s="781"/>
      <c r="ST12" s="782"/>
      <c r="SU12" s="782"/>
      <c r="SV12" s="777"/>
      <c r="SW12" s="778"/>
      <c r="SX12" s="779"/>
      <c r="SY12" s="780"/>
      <c r="SZ12" s="781"/>
      <c r="TA12" s="782"/>
      <c r="TB12" s="782"/>
      <c r="TC12" s="777"/>
      <c r="TD12" s="778"/>
      <c r="TE12" s="779"/>
      <c r="TF12" s="780"/>
      <c r="TG12" s="781"/>
      <c r="TH12" s="782"/>
      <c r="TI12" s="782"/>
      <c r="TJ12" s="777"/>
      <c r="TK12" s="778"/>
      <c r="TL12" s="779"/>
      <c r="TM12" s="780"/>
      <c r="TN12" s="781"/>
      <c r="TO12" s="782"/>
      <c r="TP12" s="782"/>
      <c r="TQ12" s="777"/>
      <c r="TR12" s="778"/>
      <c r="TS12" s="779"/>
      <c r="TT12" s="780"/>
      <c r="TU12" s="781"/>
      <c r="TV12" s="782"/>
      <c r="TW12" s="782"/>
      <c r="TX12" s="777"/>
      <c r="TY12" s="778"/>
      <c r="TZ12" s="779"/>
      <c r="UA12" s="780"/>
      <c r="UB12" s="781"/>
      <c r="UC12" s="782"/>
      <c r="UD12" s="782"/>
      <c r="UE12" s="777"/>
      <c r="UF12" s="778"/>
      <c r="UG12" s="779"/>
      <c r="UH12" s="780"/>
      <c r="UI12" s="781"/>
      <c r="UJ12" s="782"/>
      <c r="UK12" s="782"/>
      <c r="UL12" s="777"/>
      <c r="UM12" s="778"/>
      <c r="UN12" s="779"/>
      <c r="UO12" s="780"/>
      <c r="UP12" s="781"/>
      <c r="UQ12" s="782"/>
      <c r="UR12" s="782"/>
      <c r="US12" s="777"/>
      <c r="UT12" s="778"/>
      <c r="UU12" s="779"/>
      <c r="UV12" s="780"/>
      <c r="UW12" s="781"/>
      <c r="UX12" s="782"/>
      <c r="UY12" s="782"/>
      <c r="UZ12" s="777"/>
      <c r="VA12" s="778"/>
      <c r="VB12" s="779"/>
      <c r="VC12" s="780"/>
      <c r="VD12" s="781"/>
      <c r="VE12" s="782"/>
      <c r="VF12" s="782"/>
      <c r="VG12" s="777"/>
      <c r="VH12" s="778"/>
      <c r="VI12" s="779"/>
      <c r="VJ12" s="780"/>
      <c r="VK12" s="781"/>
      <c r="VL12" s="782"/>
      <c r="VM12" s="782"/>
      <c r="VN12" s="777"/>
      <c r="VO12" s="778"/>
      <c r="VP12" s="779"/>
      <c r="VQ12" s="780"/>
      <c r="VR12" s="781"/>
      <c r="VS12" s="782"/>
      <c r="VT12" s="782"/>
      <c r="VU12" s="777"/>
      <c r="VV12" s="778"/>
      <c r="VW12" s="779"/>
      <c r="VX12" s="780"/>
      <c r="VY12" s="781"/>
      <c r="VZ12" s="782"/>
      <c r="WA12" s="782"/>
      <c r="WB12" s="777"/>
      <c r="WC12" s="778"/>
      <c r="WD12" s="779"/>
      <c r="WE12" s="780"/>
      <c r="WF12" s="781"/>
      <c r="WG12" s="782"/>
      <c r="WH12" s="782"/>
      <c r="WI12" s="777"/>
      <c r="WJ12" s="778"/>
      <c r="WK12" s="779"/>
      <c r="WL12" s="780"/>
      <c r="WM12" s="781"/>
      <c r="WN12" s="782"/>
      <c r="WO12" s="782"/>
      <c r="WP12" s="777"/>
      <c r="WQ12" s="778"/>
      <c r="WR12" s="779"/>
      <c r="WS12" s="780"/>
      <c r="WT12" s="781"/>
      <c r="WU12" s="782"/>
      <c r="WV12" s="782"/>
      <c r="WW12" s="777"/>
      <c r="WX12" s="778"/>
      <c r="WY12" s="779"/>
      <c r="WZ12" s="780"/>
      <c r="XA12" s="781"/>
      <c r="XB12" s="782"/>
      <c r="XC12" s="782"/>
      <c r="XD12" s="777"/>
      <c r="XE12" s="778"/>
      <c r="XF12" s="779"/>
      <c r="XG12" s="780"/>
      <c r="XH12" s="781"/>
      <c r="XI12" s="782"/>
      <c r="XJ12" s="782"/>
      <c r="XK12" s="777"/>
      <c r="XL12" s="778"/>
      <c r="XM12" s="779"/>
      <c r="XN12" s="780"/>
      <c r="XO12" s="781"/>
      <c r="XP12" s="782"/>
      <c r="XQ12" s="782"/>
      <c r="XR12" s="777"/>
      <c r="XS12" s="778"/>
      <c r="XT12" s="779"/>
      <c r="XU12" s="780"/>
      <c r="XV12" s="781"/>
      <c r="XW12" s="782"/>
      <c r="XX12" s="782"/>
      <c r="XY12" s="777"/>
      <c r="XZ12" s="778"/>
      <c r="YA12" s="779"/>
      <c r="YB12" s="780"/>
      <c r="YC12" s="781"/>
      <c r="YD12" s="782"/>
      <c r="YE12" s="782"/>
      <c r="YF12" s="777"/>
      <c r="YG12" s="778"/>
      <c r="YH12" s="779"/>
      <c r="YI12" s="780"/>
      <c r="YJ12" s="781"/>
      <c r="YK12" s="782"/>
      <c r="YL12" s="782"/>
      <c r="YM12" s="777"/>
      <c r="YN12" s="778"/>
      <c r="YO12" s="779"/>
      <c r="YP12" s="780"/>
      <c r="YQ12" s="781"/>
      <c r="YR12" s="782"/>
      <c r="YS12" s="782"/>
      <c r="YT12" s="777"/>
      <c r="YU12" s="778"/>
      <c r="YV12" s="779"/>
      <c r="YW12" s="780"/>
      <c r="YX12" s="781"/>
      <c r="YY12" s="782"/>
      <c r="YZ12" s="782"/>
      <c r="ZA12" s="777"/>
      <c r="ZB12" s="778"/>
      <c r="ZC12" s="779"/>
      <c r="ZD12" s="780"/>
      <c r="ZE12" s="781"/>
      <c r="ZF12" s="782"/>
      <c r="ZG12" s="782"/>
      <c r="ZH12" s="777"/>
      <c r="ZI12" s="778"/>
      <c r="ZJ12" s="779"/>
      <c r="ZK12" s="780"/>
      <c r="ZL12" s="781"/>
      <c r="ZM12" s="782"/>
      <c r="ZN12" s="782"/>
      <c r="ZO12" s="777"/>
      <c r="ZP12" s="778"/>
      <c r="ZQ12" s="779"/>
      <c r="ZR12" s="780"/>
      <c r="ZS12" s="781"/>
      <c r="ZT12" s="782"/>
      <c r="ZU12" s="782"/>
      <c r="ZV12" s="777"/>
      <c r="ZW12" s="778"/>
      <c r="ZX12" s="779"/>
      <c r="ZY12" s="780"/>
      <c r="ZZ12" s="781"/>
      <c r="AAA12" s="782"/>
      <c r="AAB12" s="782"/>
      <c r="AAC12" s="777"/>
      <c r="AAD12" s="778"/>
      <c r="AAE12" s="779"/>
      <c r="AAF12" s="780"/>
      <c r="AAG12" s="781"/>
      <c r="AAH12" s="782"/>
      <c r="AAI12" s="782"/>
      <c r="AAJ12" s="777"/>
      <c r="AAK12" s="778"/>
      <c r="AAL12" s="779"/>
      <c r="AAM12" s="780"/>
      <c r="AAN12" s="781"/>
      <c r="AAO12" s="782"/>
      <c r="AAP12" s="782"/>
      <c r="AAQ12" s="777"/>
      <c r="AAR12" s="778"/>
      <c r="AAS12" s="779"/>
      <c r="AAT12" s="780"/>
      <c r="AAU12" s="781"/>
      <c r="AAV12" s="782"/>
      <c r="AAW12" s="782"/>
      <c r="AAX12" s="777"/>
      <c r="AAY12" s="778"/>
      <c r="AAZ12" s="779"/>
      <c r="ABA12" s="780"/>
      <c r="ABB12" s="781"/>
      <c r="ABC12" s="782"/>
      <c r="ABD12" s="782"/>
      <c r="ABE12" s="777"/>
      <c r="ABF12" s="778"/>
      <c r="ABG12" s="779"/>
      <c r="ABH12" s="780"/>
      <c r="ABI12" s="781"/>
      <c r="ABJ12" s="782"/>
      <c r="ABK12" s="782"/>
      <c r="ABL12" s="777"/>
      <c r="ABM12" s="778"/>
      <c r="ABN12" s="779"/>
      <c r="ABO12" s="780"/>
      <c r="ABP12" s="781"/>
      <c r="ABQ12" s="782"/>
      <c r="ABR12" s="782"/>
      <c r="ABS12" s="777"/>
      <c r="ABT12" s="778"/>
      <c r="ABU12" s="779"/>
      <c r="ABV12" s="780"/>
      <c r="ABW12" s="781"/>
      <c r="ABX12" s="782"/>
      <c r="ABY12" s="782"/>
      <c r="ABZ12" s="777"/>
      <c r="ACA12" s="778"/>
      <c r="ACB12" s="779"/>
      <c r="ACC12" s="780"/>
      <c r="ACD12" s="781"/>
      <c r="ACE12" s="782"/>
      <c r="ACF12" s="782"/>
      <c r="ACG12" s="777"/>
      <c r="ACH12" s="778"/>
      <c r="ACI12" s="779"/>
      <c r="ACJ12" s="780"/>
      <c r="ACK12" s="781"/>
      <c r="ACL12" s="782"/>
      <c r="ACM12" s="782"/>
      <c r="ACN12" s="777"/>
      <c r="ACO12" s="778"/>
      <c r="ACP12" s="779"/>
      <c r="ACQ12" s="780"/>
      <c r="ACR12" s="781"/>
      <c r="ACS12" s="782"/>
      <c r="ACT12" s="782"/>
      <c r="ACU12" s="777"/>
      <c r="ACV12" s="778"/>
      <c r="ACW12" s="779"/>
      <c r="ACX12" s="780"/>
      <c r="ACY12" s="781"/>
      <c r="ACZ12" s="782"/>
      <c r="ADA12" s="782"/>
      <c r="ADB12" s="777"/>
      <c r="ADC12" s="778"/>
      <c r="ADD12" s="779"/>
      <c r="ADE12" s="780"/>
      <c r="ADF12" s="781"/>
      <c r="ADG12" s="782"/>
      <c r="ADH12" s="782"/>
      <c r="ADI12" s="777"/>
      <c r="ADJ12" s="778"/>
      <c r="ADK12" s="779"/>
      <c r="ADL12" s="780"/>
      <c r="ADM12" s="781"/>
      <c r="ADN12" s="782"/>
      <c r="ADO12" s="782"/>
      <c r="ADP12" s="777"/>
      <c r="ADQ12" s="778"/>
      <c r="ADR12" s="779"/>
      <c r="ADS12" s="780"/>
      <c r="ADT12" s="781"/>
      <c r="ADU12" s="782"/>
      <c r="ADV12" s="782"/>
      <c r="ADW12" s="777"/>
      <c r="ADX12" s="778"/>
      <c r="ADY12" s="779"/>
      <c r="ADZ12" s="780"/>
      <c r="AEA12" s="781"/>
      <c r="AEB12" s="782"/>
      <c r="AEC12" s="782"/>
      <c r="AED12" s="777"/>
      <c r="AEE12" s="778"/>
      <c r="AEF12" s="779"/>
      <c r="AEG12" s="780"/>
      <c r="AEH12" s="781"/>
      <c r="AEI12" s="782"/>
      <c r="AEJ12" s="782"/>
      <c r="AEK12" s="777"/>
      <c r="AEL12" s="778"/>
      <c r="AEM12" s="779"/>
      <c r="AEN12" s="780"/>
      <c r="AEO12" s="781"/>
      <c r="AEP12" s="782"/>
      <c r="AEQ12" s="782"/>
      <c r="AER12" s="777"/>
      <c r="AES12" s="778"/>
      <c r="AET12" s="779"/>
      <c r="AEU12" s="780"/>
      <c r="AEV12" s="781"/>
      <c r="AEW12" s="782"/>
      <c r="AEX12" s="782"/>
      <c r="AEY12" s="777"/>
      <c r="AEZ12" s="778"/>
      <c r="AFA12" s="779"/>
      <c r="AFB12" s="780"/>
      <c r="AFC12" s="781"/>
      <c r="AFD12" s="782"/>
      <c r="AFE12" s="782"/>
      <c r="AFF12" s="777"/>
      <c r="AFG12" s="778"/>
      <c r="AFH12" s="779"/>
      <c r="AFI12" s="780"/>
      <c r="AFJ12" s="781"/>
      <c r="AFK12" s="782"/>
      <c r="AFL12" s="782"/>
      <c r="AFM12" s="777"/>
      <c r="AFN12" s="778"/>
      <c r="AFO12" s="779"/>
      <c r="AFP12" s="780"/>
      <c r="AFQ12" s="781"/>
      <c r="AFR12" s="782"/>
      <c r="AFS12" s="782"/>
      <c r="AFT12" s="777"/>
      <c r="AFU12" s="778"/>
      <c r="AFV12" s="779"/>
      <c r="AFW12" s="780"/>
      <c r="AFX12" s="781"/>
      <c r="AFY12" s="782"/>
      <c r="AFZ12" s="782"/>
      <c r="AGA12" s="777"/>
      <c r="AGB12" s="778"/>
      <c r="AGC12" s="779"/>
      <c r="AGD12" s="780"/>
      <c r="AGE12" s="781"/>
      <c r="AGF12" s="782"/>
      <c r="AGG12" s="782"/>
      <c r="AGH12" s="777"/>
      <c r="AGI12" s="778"/>
      <c r="AGJ12" s="779"/>
      <c r="AGK12" s="780"/>
      <c r="AGL12" s="781"/>
      <c r="AGM12" s="782"/>
      <c r="AGN12" s="782"/>
      <c r="AGO12" s="777"/>
      <c r="AGP12" s="778"/>
      <c r="AGQ12" s="779"/>
      <c r="AGR12" s="780"/>
      <c r="AGS12" s="781"/>
      <c r="AGT12" s="782"/>
      <c r="AGU12" s="782"/>
      <c r="AGV12" s="777"/>
      <c r="AGW12" s="778"/>
      <c r="AGX12" s="779"/>
      <c r="AGY12" s="780"/>
      <c r="AGZ12" s="781"/>
      <c r="AHA12" s="782"/>
      <c r="AHB12" s="782"/>
      <c r="AHC12" s="777"/>
      <c r="AHD12" s="778"/>
      <c r="AHE12" s="779"/>
      <c r="AHF12" s="780"/>
      <c r="AHG12" s="781"/>
      <c r="AHH12" s="782"/>
      <c r="AHI12" s="782"/>
      <c r="AHJ12" s="777"/>
      <c r="AHK12" s="778"/>
      <c r="AHL12" s="779"/>
      <c r="AHM12" s="780"/>
      <c r="AHN12" s="781"/>
      <c r="AHO12" s="782"/>
      <c r="AHP12" s="782"/>
      <c r="AHQ12" s="777"/>
      <c r="AHR12" s="778"/>
      <c r="AHS12" s="779"/>
      <c r="AHT12" s="780"/>
      <c r="AHU12" s="781"/>
      <c r="AHV12" s="782"/>
      <c r="AHW12" s="782"/>
      <c r="AHX12" s="777"/>
      <c r="AHY12" s="778"/>
      <c r="AHZ12" s="779"/>
      <c r="AIA12" s="780"/>
      <c r="AIB12" s="781"/>
      <c r="AIC12" s="782"/>
      <c r="AID12" s="782"/>
      <c r="AIE12" s="777"/>
      <c r="AIF12" s="778"/>
      <c r="AIG12" s="779"/>
      <c r="AIH12" s="780"/>
      <c r="AII12" s="781"/>
      <c r="AIJ12" s="782"/>
      <c r="AIK12" s="782"/>
      <c r="AIL12" s="777"/>
      <c r="AIM12" s="778"/>
      <c r="AIN12" s="779"/>
      <c r="AIO12" s="780"/>
      <c r="AIP12" s="781"/>
      <c r="AIQ12" s="782"/>
      <c r="AIR12" s="782"/>
      <c r="AIS12" s="777"/>
      <c r="AIT12" s="778"/>
      <c r="AIU12" s="779"/>
      <c r="AIV12" s="780"/>
      <c r="AIW12" s="781"/>
      <c r="AIX12" s="782"/>
      <c r="AIY12" s="782"/>
      <c r="AIZ12" s="777"/>
      <c r="AJA12" s="778"/>
      <c r="AJB12" s="779"/>
      <c r="AJC12" s="780"/>
      <c r="AJD12" s="781"/>
      <c r="AJE12" s="782"/>
      <c r="AJF12" s="782"/>
      <c r="AJG12" s="777"/>
      <c r="AJH12" s="778"/>
      <c r="AJI12" s="779"/>
      <c r="AJJ12" s="780"/>
      <c r="AJK12" s="781"/>
      <c r="AJL12" s="782"/>
      <c r="AJM12" s="782"/>
      <c r="AJN12" s="777"/>
      <c r="AJO12" s="778"/>
      <c r="AJP12" s="779"/>
      <c r="AJQ12" s="780"/>
      <c r="AJR12" s="781"/>
      <c r="AJS12" s="782"/>
      <c r="AJT12" s="782"/>
      <c r="AJU12" s="777"/>
      <c r="AJV12" s="778"/>
      <c r="AJW12" s="779"/>
      <c r="AJX12" s="780"/>
      <c r="AJY12" s="781"/>
      <c r="AJZ12" s="782"/>
      <c r="AKA12" s="782"/>
      <c r="AKB12" s="777"/>
      <c r="AKC12" s="778"/>
      <c r="AKD12" s="779"/>
      <c r="AKE12" s="780"/>
      <c r="AKF12" s="781"/>
      <c r="AKG12" s="782"/>
      <c r="AKH12" s="782"/>
      <c r="AKI12" s="777"/>
      <c r="AKJ12" s="778"/>
      <c r="AKK12" s="779"/>
      <c r="AKL12" s="780"/>
      <c r="AKM12" s="781"/>
      <c r="AKN12" s="782"/>
      <c r="AKO12" s="782"/>
      <c r="AKP12" s="777"/>
      <c r="AKQ12" s="778"/>
      <c r="AKR12" s="779"/>
      <c r="AKS12" s="780"/>
      <c r="AKT12" s="781"/>
      <c r="AKU12" s="782"/>
      <c r="AKV12" s="782"/>
      <c r="AKW12" s="777"/>
      <c r="AKX12" s="778"/>
      <c r="AKY12" s="779"/>
      <c r="AKZ12" s="780"/>
      <c r="ALA12" s="781"/>
      <c r="ALB12" s="782"/>
      <c r="ALC12" s="782"/>
      <c r="ALD12" s="777"/>
      <c r="ALE12" s="778"/>
      <c r="ALF12" s="779"/>
      <c r="ALG12" s="780"/>
      <c r="ALH12" s="781"/>
      <c r="ALI12" s="782"/>
      <c r="ALJ12" s="782"/>
      <c r="ALK12" s="777"/>
      <c r="ALL12" s="778"/>
      <c r="ALM12" s="779"/>
      <c r="ALN12" s="780"/>
      <c r="ALO12" s="781"/>
      <c r="ALP12" s="782"/>
      <c r="ALQ12" s="782"/>
      <c r="ALR12" s="777"/>
      <c r="ALS12" s="778"/>
      <c r="ALT12" s="779"/>
      <c r="ALU12" s="780"/>
      <c r="ALV12" s="781"/>
      <c r="ALW12" s="782"/>
      <c r="ALX12" s="782"/>
      <c r="ALY12" s="777"/>
      <c r="ALZ12" s="778"/>
      <c r="AMA12" s="779"/>
      <c r="AMB12" s="780"/>
      <c r="AMC12" s="781"/>
      <c r="AMD12" s="782"/>
      <c r="AME12" s="782"/>
      <c r="AMF12" s="777"/>
      <c r="AMG12" s="778"/>
      <c r="AMH12" s="779"/>
      <c r="AMI12" s="780"/>
      <c r="AMJ12" s="781"/>
      <c r="AMK12" s="782"/>
      <c r="AML12" s="782"/>
      <c r="AMM12" s="777"/>
      <c r="AMN12" s="778"/>
      <c r="AMO12" s="779"/>
      <c r="AMP12" s="780"/>
      <c r="AMQ12" s="781"/>
      <c r="AMR12" s="782"/>
      <c r="AMS12" s="782"/>
      <c r="AMT12" s="777"/>
      <c r="AMU12" s="778"/>
      <c r="AMV12" s="779"/>
      <c r="AMW12" s="780"/>
      <c r="AMX12" s="781"/>
      <c r="AMY12" s="782"/>
      <c r="AMZ12" s="782"/>
      <c r="ANA12" s="777"/>
      <c r="ANB12" s="778"/>
      <c r="ANC12" s="779"/>
      <c r="AND12" s="780"/>
      <c r="ANE12" s="781"/>
      <c r="ANF12" s="782"/>
      <c r="ANG12" s="782"/>
      <c r="ANH12" s="777"/>
      <c r="ANI12" s="778"/>
      <c r="ANJ12" s="779"/>
      <c r="ANK12" s="780"/>
      <c r="ANL12" s="781"/>
      <c r="ANM12" s="782"/>
      <c r="ANN12" s="782"/>
      <c r="ANO12" s="777"/>
      <c r="ANP12" s="778"/>
      <c r="ANQ12" s="779"/>
      <c r="ANR12" s="780"/>
      <c r="ANS12" s="781"/>
      <c r="ANT12" s="782"/>
      <c r="ANU12" s="782"/>
      <c r="ANV12" s="777"/>
      <c r="ANW12" s="778"/>
      <c r="ANX12" s="779"/>
      <c r="ANY12" s="780"/>
      <c r="ANZ12" s="781"/>
      <c r="AOA12" s="782"/>
      <c r="AOB12" s="782"/>
      <c r="AOC12" s="777"/>
      <c r="AOD12" s="778"/>
      <c r="AOE12" s="779"/>
      <c r="AOF12" s="780"/>
      <c r="AOG12" s="781"/>
      <c r="AOH12" s="782"/>
      <c r="AOI12" s="782"/>
      <c r="AOJ12" s="777"/>
      <c r="AOK12" s="778"/>
      <c r="AOL12" s="779"/>
      <c r="AOM12" s="780"/>
      <c r="AON12" s="781"/>
      <c r="AOO12" s="782"/>
      <c r="AOP12" s="782"/>
      <c r="AOQ12" s="777"/>
      <c r="AOR12" s="778"/>
      <c r="AOS12" s="779"/>
      <c r="AOT12" s="780"/>
      <c r="AOU12" s="781"/>
      <c r="AOV12" s="782"/>
      <c r="AOW12" s="782"/>
      <c r="AOX12" s="777"/>
      <c r="AOY12" s="778"/>
      <c r="AOZ12" s="779"/>
      <c r="APA12" s="780"/>
      <c r="APB12" s="781"/>
      <c r="APC12" s="782"/>
      <c r="APD12" s="782"/>
      <c r="APE12" s="777"/>
      <c r="APF12" s="778"/>
      <c r="APG12" s="779"/>
      <c r="APH12" s="780"/>
      <c r="API12" s="781"/>
      <c r="APJ12" s="782"/>
      <c r="APK12" s="782"/>
      <c r="APL12" s="777"/>
      <c r="APM12" s="778"/>
      <c r="APN12" s="779"/>
      <c r="APO12" s="780"/>
      <c r="APP12" s="781"/>
      <c r="APQ12" s="782"/>
      <c r="APR12" s="782"/>
      <c r="APS12" s="777"/>
      <c r="APT12" s="778"/>
      <c r="APU12" s="779"/>
      <c r="APV12" s="780"/>
      <c r="APW12" s="781"/>
      <c r="APX12" s="782"/>
      <c r="APY12" s="782"/>
      <c r="APZ12" s="777"/>
      <c r="AQA12" s="778"/>
      <c r="AQB12" s="779"/>
      <c r="AQC12" s="780"/>
      <c r="AQD12" s="781"/>
      <c r="AQE12" s="782"/>
      <c r="AQF12" s="782"/>
      <c r="AQG12" s="777"/>
      <c r="AQH12" s="778"/>
      <c r="AQI12" s="779"/>
      <c r="AQJ12" s="780"/>
      <c r="AQK12" s="781"/>
      <c r="AQL12" s="782"/>
      <c r="AQM12" s="782"/>
      <c r="AQN12" s="777"/>
      <c r="AQO12" s="778"/>
      <c r="AQP12" s="779"/>
      <c r="AQQ12" s="780"/>
      <c r="AQR12" s="781"/>
      <c r="AQS12" s="782"/>
      <c r="AQT12" s="782"/>
      <c r="AQU12" s="777"/>
      <c r="AQV12" s="778"/>
      <c r="AQW12" s="779"/>
      <c r="AQX12" s="780"/>
      <c r="AQY12" s="781"/>
      <c r="AQZ12" s="782"/>
      <c r="ARA12" s="782"/>
      <c r="ARB12" s="777"/>
      <c r="ARC12" s="778"/>
      <c r="ARD12" s="779"/>
      <c r="ARE12" s="780"/>
      <c r="ARF12" s="781"/>
      <c r="ARG12" s="782"/>
      <c r="ARH12" s="782"/>
      <c r="ARI12" s="777"/>
      <c r="ARJ12" s="778"/>
      <c r="ARK12" s="779"/>
      <c r="ARL12" s="780"/>
      <c r="ARM12" s="781"/>
      <c r="ARN12" s="782"/>
      <c r="ARO12" s="782"/>
      <c r="ARP12" s="777"/>
      <c r="ARQ12" s="778"/>
      <c r="ARR12" s="779"/>
      <c r="ARS12" s="780"/>
      <c r="ART12" s="781"/>
      <c r="ARU12" s="782"/>
      <c r="ARV12" s="782"/>
      <c r="ARW12" s="777"/>
      <c r="ARX12" s="778"/>
      <c r="ARY12" s="779"/>
      <c r="ARZ12" s="780"/>
      <c r="ASA12" s="781"/>
      <c r="ASB12" s="782"/>
      <c r="ASC12" s="782"/>
      <c r="ASD12" s="777"/>
      <c r="ASE12" s="778"/>
      <c r="ASF12" s="779"/>
      <c r="ASG12" s="780"/>
      <c r="ASH12" s="781"/>
      <c r="ASI12" s="782"/>
      <c r="ASJ12" s="782"/>
      <c r="ASK12" s="777"/>
      <c r="ASL12" s="778"/>
      <c r="ASM12" s="779"/>
      <c r="ASN12" s="780"/>
      <c r="ASO12" s="781"/>
      <c r="ASP12" s="782"/>
      <c r="ASQ12" s="782"/>
      <c r="ASR12" s="777"/>
      <c r="ASS12" s="778"/>
      <c r="AST12" s="779"/>
      <c r="ASU12" s="780"/>
      <c r="ASV12" s="781"/>
      <c r="ASW12" s="782"/>
      <c r="ASX12" s="782"/>
      <c r="ASY12" s="777"/>
      <c r="ASZ12" s="778"/>
      <c r="ATA12" s="779"/>
      <c r="ATB12" s="780"/>
      <c r="ATC12" s="781"/>
      <c r="ATD12" s="782"/>
      <c r="ATE12" s="782"/>
      <c r="ATF12" s="777"/>
      <c r="ATG12" s="778"/>
      <c r="ATH12" s="779"/>
      <c r="ATI12" s="780"/>
      <c r="ATJ12" s="781"/>
      <c r="ATK12" s="782"/>
      <c r="ATL12" s="782"/>
      <c r="ATM12" s="777"/>
      <c r="ATN12" s="778"/>
      <c r="ATO12" s="779"/>
      <c r="ATP12" s="780"/>
      <c r="ATQ12" s="781"/>
      <c r="ATR12" s="782"/>
      <c r="ATS12" s="782"/>
      <c r="ATT12" s="777"/>
      <c r="ATU12" s="778"/>
      <c r="ATV12" s="779"/>
      <c r="ATW12" s="780"/>
      <c r="ATX12" s="781"/>
      <c r="ATY12" s="782"/>
      <c r="ATZ12" s="782"/>
      <c r="AUA12" s="777"/>
      <c r="AUB12" s="778"/>
      <c r="AUC12" s="779"/>
      <c r="AUD12" s="780"/>
      <c r="AUE12" s="781"/>
      <c r="AUF12" s="782"/>
      <c r="AUG12" s="782"/>
      <c r="AUH12" s="777"/>
      <c r="AUI12" s="778"/>
      <c r="AUJ12" s="779"/>
      <c r="AUK12" s="780"/>
      <c r="AUL12" s="781"/>
      <c r="AUM12" s="782"/>
      <c r="AUN12" s="782"/>
      <c r="AUO12" s="777"/>
      <c r="AUP12" s="778"/>
      <c r="AUQ12" s="779"/>
      <c r="AUR12" s="780"/>
      <c r="AUS12" s="781"/>
      <c r="AUT12" s="782"/>
      <c r="AUU12" s="782"/>
      <c r="AUV12" s="777"/>
      <c r="AUW12" s="778"/>
      <c r="AUX12" s="779"/>
      <c r="AUY12" s="780"/>
      <c r="AUZ12" s="781"/>
      <c r="AVA12" s="782"/>
      <c r="AVB12" s="782"/>
      <c r="AVC12" s="777"/>
      <c r="AVD12" s="778"/>
      <c r="AVE12" s="779"/>
      <c r="AVF12" s="780"/>
      <c r="AVG12" s="781"/>
      <c r="AVH12" s="782"/>
      <c r="AVI12" s="782"/>
      <c r="AVJ12" s="777"/>
      <c r="AVK12" s="778"/>
      <c r="AVL12" s="779"/>
      <c r="AVM12" s="780"/>
      <c r="AVN12" s="781"/>
      <c r="AVO12" s="782"/>
      <c r="AVP12" s="782"/>
      <c r="AVQ12" s="777"/>
      <c r="AVR12" s="778"/>
      <c r="AVS12" s="779"/>
      <c r="AVT12" s="780"/>
      <c r="AVU12" s="781"/>
      <c r="AVV12" s="782"/>
      <c r="AVW12" s="782"/>
      <c r="AVX12" s="777"/>
      <c r="AVY12" s="778"/>
      <c r="AVZ12" s="779"/>
      <c r="AWA12" s="780"/>
      <c r="AWB12" s="781"/>
      <c r="AWC12" s="782"/>
      <c r="AWD12" s="782"/>
      <c r="AWE12" s="777"/>
      <c r="AWF12" s="778"/>
      <c r="AWG12" s="779"/>
      <c r="AWH12" s="780"/>
      <c r="AWI12" s="781"/>
      <c r="AWJ12" s="782"/>
      <c r="AWK12" s="782"/>
      <c r="AWL12" s="777"/>
      <c r="AWM12" s="778"/>
      <c r="AWN12" s="779"/>
      <c r="AWO12" s="780"/>
      <c r="AWP12" s="781"/>
      <c r="AWQ12" s="782"/>
      <c r="AWR12" s="782"/>
      <c r="AWS12" s="777"/>
      <c r="AWT12" s="778"/>
      <c r="AWU12" s="779"/>
      <c r="AWV12" s="780"/>
      <c r="AWW12" s="781"/>
      <c r="AWX12" s="782"/>
      <c r="AWY12" s="782"/>
      <c r="AWZ12" s="777"/>
      <c r="AXA12" s="778"/>
      <c r="AXB12" s="779"/>
      <c r="AXC12" s="780"/>
      <c r="AXD12" s="781"/>
      <c r="AXE12" s="782"/>
      <c r="AXF12" s="782"/>
      <c r="AXG12" s="777"/>
      <c r="AXH12" s="778"/>
      <c r="AXI12" s="779"/>
      <c r="AXJ12" s="780"/>
      <c r="AXK12" s="781"/>
      <c r="AXL12" s="782"/>
      <c r="AXM12" s="782"/>
      <c r="AXN12" s="777"/>
      <c r="AXO12" s="778"/>
      <c r="AXP12" s="779"/>
      <c r="AXQ12" s="780"/>
      <c r="AXR12" s="781"/>
      <c r="AXS12" s="782"/>
      <c r="AXT12" s="782"/>
      <c r="AXU12" s="777"/>
      <c r="AXV12" s="778"/>
      <c r="AXW12" s="779"/>
      <c r="AXX12" s="780"/>
      <c r="AXY12" s="781"/>
      <c r="AXZ12" s="782"/>
      <c r="AYA12" s="782"/>
      <c r="AYB12" s="777"/>
      <c r="AYC12" s="778"/>
      <c r="AYD12" s="779"/>
      <c r="AYE12" s="780"/>
      <c r="AYF12" s="781"/>
      <c r="AYG12" s="782"/>
      <c r="AYH12" s="782"/>
      <c r="AYI12" s="777"/>
      <c r="AYJ12" s="778"/>
      <c r="AYK12" s="779"/>
      <c r="AYL12" s="780"/>
      <c r="AYM12" s="781"/>
      <c r="AYN12" s="782"/>
      <c r="AYO12" s="782"/>
      <c r="AYP12" s="777"/>
      <c r="AYQ12" s="778"/>
      <c r="AYR12" s="779"/>
      <c r="AYS12" s="780"/>
      <c r="AYT12" s="781"/>
      <c r="AYU12" s="782"/>
      <c r="AYV12" s="782"/>
      <c r="AYW12" s="777"/>
      <c r="AYX12" s="778"/>
      <c r="AYY12" s="779"/>
      <c r="AYZ12" s="780"/>
      <c r="AZA12" s="781"/>
      <c r="AZB12" s="782"/>
      <c r="AZC12" s="782"/>
      <c r="AZD12" s="777"/>
      <c r="AZE12" s="778"/>
      <c r="AZF12" s="779"/>
      <c r="AZG12" s="780"/>
      <c r="AZH12" s="781"/>
      <c r="AZI12" s="782"/>
      <c r="AZJ12" s="782"/>
      <c r="AZK12" s="777"/>
      <c r="AZL12" s="778"/>
      <c r="AZM12" s="779"/>
      <c r="AZN12" s="780"/>
      <c r="AZO12" s="781"/>
      <c r="AZP12" s="782"/>
      <c r="AZQ12" s="782"/>
      <c r="AZR12" s="777"/>
      <c r="AZS12" s="778"/>
      <c r="AZT12" s="779"/>
      <c r="AZU12" s="780"/>
      <c r="AZV12" s="781"/>
      <c r="AZW12" s="782"/>
      <c r="AZX12" s="782"/>
      <c r="AZY12" s="777"/>
      <c r="AZZ12" s="778"/>
      <c r="BAA12" s="779"/>
      <c r="BAB12" s="780"/>
      <c r="BAC12" s="781"/>
      <c r="BAD12" s="782"/>
      <c r="BAE12" s="782"/>
      <c r="BAF12" s="777"/>
      <c r="BAG12" s="778"/>
      <c r="BAH12" s="779"/>
      <c r="BAI12" s="780"/>
      <c r="BAJ12" s="781"/>
      <c r="BAK12" s="782"/>
      <c r="BAL12" s="782"/>
      <c r="BAM12" s="777"/>
      <c r="BAN12" s="778"/>
      <c r="BAO12" s="779"/>
      <c r="BAP12" s="780"/>
      <c r="BAQ12" s="781"/>
      <c r="BAR12" s="782"/>
      <c r="BAS12" s="782"/>
      <c r="BAT12" s="777"/>
      <c r="BAU12" s="778"/>
      <c r="BAV12" s="779"/>
      <c r="BAW12" s="780"/>
      <c r="BAX12" s="781"/>
      <c r="BAY12" s="782"/>
      <c r="BAZ12" s="782"/>
      <c r="BBA12" s="777"/>
      <c r="BBB12" s="778"/>
      <c r="BBC12" s="779"/>
      <c r="BBD12" s="780"/>
      <c r="BBE12" s="781"/>
      <c r="BBF12" s="782"/>
      <c r="BBG12" s="782"/>
      <c r="BBH12" s="777"/>
      <c r="BBI12" s="778"/>
      <c r="BBJ12" s="779"/>
      <c r="BBK12" s="780"/>
      <c r="BBL12" s="781"/>
      <c r="BBM12" s="782"/>
      <c r="BBN12" s="782"/>
      <c r="BBO12" s="777"/>
      <c r="BBP12" s="778"/>
      <c r="BBQ12" s="779"/>
      <c r="BBR12" s="780"/>
      <c r="BBS12" s="781"/>
      <c r="BBT12" s="782"/>
      <c r="BBU12" s="782"/>
      <c r="BBV12" s="777"/>
      <c r="BBW12" s="778"/>
      <c r="BBX12" s="779"/>
      <c r="BBY12" s="780"/>
      <c r="BBZ12" s="781"/>
      <c r="BCA12" s="782"/>
      <c r="BCB12" s="782"/>
      <c r="BCC12" s="777"/>
      <c r="BCD12" s="778"/>
      <c r="BCE12" s="779"/>
      <c r="BCF12" s="780"/>
      <c r="BCG12" s="781"/>
      <c r="BCH12" s="782"/>
      <c r="BCI12" s="782"/>
      <c r="BCJ12" s="777"/>
      <c r="BCK12" s="778"/>
      <c r="BCL12" s="779"/>
      <c r="BCM12" s="780"/>
      <c r="BCN12" s="781"/>
      <c r="BCO12" s="782"/>
      <c r="BCP12" s="782"/>
      <c r="BCQ12" s="777"/>
      <c r="BCR12" s="778"/>
      <c r="BCS12" s="779"/>
      <c r="BCT12" s="780"/>
      <c r="BCU12" s="781"/>
      <c r="BCV12" s="782"/>
      <c r="BCW12" s="782"/>
      <c r="BCX12" s="777"/>
      <c r="BCY12" s="778"/>
      <c r="BCZ12" s="779"/>
      <c r="BDA12" s="780"/>
      <c r="BDB12" s="781"/>
      <c r="BDC12" s="782"/>
      <c r="BDD12" s="782"/>
      <c r="BDE12" s="777"/>
      <c r="BDF12" s="778"/>
      <c r="BDG12" s="779"/>
      <c r="BDH12" s="780"/>
      <c r="BDI12" s="781"/>
      <c r="BDJ12" s="782"/>
      <c r="BDK12" s="782"/>
      <c r="BDL12" s="777"/>
      <c r="BDM12" s="778"/>
      <c r="BDN12" s="779"/>
      <c r="BDO12" s="780"/>
      <c r="BDP12" s="781"/>
      <c r="BDQ12" s="782"/>
      <c r="BDR12" s="782"/>
      <c r="BDS12" s="777"/>
      <c r="BDT12" s="778"/>
      <c r="BDU12" s="779"/>
      <c r="BDV12" s="780"/>
      <c r="BDW12" s="781"/>
      <c r="BDX12" s="782"/>
      <c r="BDY12" s="782"/>
      <c r="BDZ12" s="777"/>
      <c r="BEA12" s="778"/>
      <c r="BEB12" s="779"/>
      <c r="BEC12" s="780"/>
      <c r="BED12" s="781"/>
      <c r="BEE12" s="782"/>
      <c r="BEF12" s="782"/>
      <c r="BEG12" s="777"/>
      <c r="BEH12" s="778"/>
      <c r="BEI12" s="779"/>
      <c r="BEJ12" s="780"/>
      <c r="BEK12" s="781"/>
      <c r="BEL12" s="782"/>
      <c r="BEM12" s="782"/>
      <c r="BEN12" s="777"/>
      <c r="BEO12" s="778"/>
      <c r="BEP12" s="779"/>
      <c r="BEQ12" s="780"/>
      <c r="BER12" s="781"/>
      <c r="BES12" s="782"/>
      <c r="BET12" s="782"/>
      <c r="BEU12" s="777"/>
      <c r="BEV12" s="778"/>
      <c r="BEW12" s="779"/>
      <c r="BEX12" s="780"/>
      <c r="BEY12" s="781"/>
      <c r="BEZ12" s="782"/>
      <c r="BFA12" s="782"/>
      <c r="BFB12" s="777"/>
      <c r="BFC12" s="778"/>
      <c r="BFD12" s="779"/>
      <c r="BFE12" s="780"/>
      <c r="BFF12" s="781"/>
      <c r="BFG12" s="782"/>
      <c r="BFH12" s="782"/>
      <c r="BFI12" s="777"/>
      <c r="BFJ12" s="778"/>
      <c r="BFK12" s="779"/>
      <c r="BFL12" s="780"/>
      <c r="BFM12" s="781"/>
      <c r="BFN12" s="782"/>
      <c r="BFO12" s="782"/>
      <c r="BFP12" s="777"/>
      <c r="BFQ12" s="778"/>
      <c r="BFR12" s="779"/>
      <c r="BFS12" s="780"/>
      <c r="BFT12" s="781"/>
      <c r="BFU12" s="782"/>
      <c r="BFV12" s="782"/>
      <c r="BFW12" s="777"/>
      <c r="BFX12" s="778"/>
      <c r="BFY12" s="779"/>
      <c r="BFZ12" s="780"/>
      <c r="BGA12" s="781"/>
      <c r="BGB12" s="782"/>
      <c r="BGC12" s="782"/>
      <c r="BGD12" s="777"/>
      <c r="BGE12" s="778"/>
      <c r="BGF12" s="779"/>
      <c r="BGG12" s="780"/>
      <c r="BGH12" s="781"/>
      <c r="BGI12" s="782"/>
      <c r="BGJ12" s="782"/>
      <c r="BGK12" s="777"/>
      <c r="BGL12" s="778"/>
      <c r="BGM12" s="779"/>
      <c r="BGN12" s="780"/>
      <c r="BGO12" s="781"/>
      <c r="BGP12" s="782"/>
      <c r="BGQ12" s="782"/>
      <c r="BGR12" s="777"/>
      <c r="BGS12" s="778"/>
      <c r="BGT12" s="779"/>
      <c r="BGU12" s="780"/>
      <c r="BGV12" s="781"/>
      <c r="BGW12" s="782"/>
      <c r="BGX12" s="782"/>
      <c r="BGY12" s="777"/>
      <c r="BGZ12" s="778"/>
      <c r="BHA12" s="779"/>
      <c r="BHB12" s="780"/>
      <c r="BHC12" s="781"/>
      <c r="BHD12" s="782"/>
      <c r="BHE12" s="782"/>
      <c r="BHF12" s="777"/>
      <c r="BHG12" s="778"/>
      <c r="BHH12" s="779"/>
      <c r="BHI12" s="780"/>
      <c r="BHJ12" s="781"/>
      <c r="BHK12" s="782"/>
      <c r="BHL12" s="782"/>
      <c r="BHM12" s="777"/>
      <c r="BHN12" s="778"/>
      <c r="BHO12" s="779"/>
      <c r="BHP12" s="780"/>
      <c r="BHQ12" s="781"/>
      <c r="BHR12" s="782"/>
      <c r="BHS12" s="782"/>
      <c r="BHT12" s="777"/>
      <c r="BHU12" s="778"/>
      <c r="BHV12" s="779"/>
      <c r="BHW12" s="780"/>
      <c r="BHX12" s="781"/>
      <c r="BHY12" s="782"/>
      <c r="BHZ12" s="782"/>
      <c r="BIA12" s="777"/>
      <c r="BIB12" s="778"/>
      <c r="BIC12" s="779"/>
      <c r="BID12" s="780"/>
      <c r="BIE12" s="781"/>
      <c r="BIF12" s="782"/>
      <c r="BIG12" s="782"/>
      <c r="BIH12" s="777"/>
      <c r="BII12" s="778"/>
      <c r="BIJ12" s="779"/>
      <c r="BIK12" s="780"/>
      <c r="BIL12" s="781"/>
      <c r="BIM12" s="782"/>
      <c r="BIN12" s="782"/>
      <c r="BIO12" s="777"/>
      <c r="BIP12" s="778"/>
      <c r="BIQ12" s="779"/>
      <c r="BIR12" s="780"/>
      <c r="BIS12" s="781"/>
      <c r="BIT12" s="782"/>
      <c r="BIU12" s="782"/>
      <c r="BIV12" s="777"/>
      <c r="BIW12" s="778"/>
      <c r="BIX12" s="779"/>
      <c r="BIY12" s="780"/>
      <c r="BIZ12" s="781"/>
      <c r="BJA12" s="782"/>
      <c r="BJB12" s="782"/>
      <c r="BJC12" s="777"/>
      <c r="BJD12" s="778"/>
      <c r="BJE12" s="779"/>
      <c r="BJF12" s="780"/>
      <c r="BJG12" s="781"/>
      <c r="BJH12" s="782"/>
      <c r="BJI12" s="782"/>
      <c r="BJJ12" s="777"/>
      <c r="BJK12" s="778"/>
      <c r="BJL12" s="779"/>
      <c r="BJM12" s="780"/>
      <c r="BJN12" s="781"/>
      <c r="BJO12" s="782"/>
      <c r="BJP12" s="782"/>
      <c r="BJQ12" s="777"/>
      <c r="BJR12" s="778"/>
      <c r="BJS12" s="779"/>
      <c r="BJT12" s="780"/>
      <c r="BJU12" s="781"/>
      <c r="BJV12" s="782"/>
      <c r="BJW12" s="782"/>
      <c r="BJX12" s="777"/>
      <c r="BJY12" s="778"/>
      <c r="BJZ12" s="779"/>
      <c r="BKA12" s="780"/>
      <c r="BKB12" s="781"/>
      <c r="BKC12" s="782"/>
      <c r="BKD12" s="782"/>
      <c r="BKE12" s="777"/>
      <c r="BKF12" s="778"/>
      <c r="BKG12" s="779"/>
      <c r="BKH12" s="780"/>
      <c r="BKI12" s="781"/>
      <c r="BKJ12" s="782"/>
      <c r="BKK12" s="782"/>
      <c r="BKL12" s="777"/>
      <c r="BKM12" s="778"/>
      <c r="BKN12" s="779"/>
      <c r="BKO12" s="780"/>
      <c r="BKP12" s="781"/>
      <c r="BKQ12" s="782"/>
      <c r="BKR12" s="782"/>
      <c r="BKS12" s="777"/>
      <c r="BKT12" s="778"/>
      <c r="BKU12" s="779"/>
      <c r="BKV12" s="780"/>
      <c r="BKW12" s="781"/>
      <c r="BKX12" s="782"/>
      <c r="BKY12" s="782"/>
      <c r="BKZ12" s="777"/>
      <c r="BLA12" s="778"/>
      <c r="BLB12" s="779"/>
      <c r="BLC12" s="780"/>
      <c r="BLD12" s="781"/>
      <c r="BLE12" s="782"/>
      <c r="BLF12" s="782"/>
      <c r="BLG12" s="777"/>
      <c r="BLH12" s="778"/>
      <c r="BLI12" s="779"/>
      <c r="BLJ12" s="780"/>
      <c r="BLK12" s="781"/>
      <c r="BLL12" s="782"/>
      <c r="BLM12" s="782"/>
      <c r="BLN12" s="777"/>
      <c r="BLO12" s="778"/>
      <c r="BLP12" s="779"/>
      <c r="BLQ12" s="780"/>
      <c r="BLR12" s="781"/>
      <c r="BLS12" s="782"/>
      <c r="BLT12" s="782"/>
      <c r="BLU12" s="777"/>
      <c r="BLV12" s="778"/>
      <c r="BLW12" s="779"/>
      <c r="BLX12" s="780"/>
      <c r="BLY12" s="781"/>
      <c r="BLZ12" s="782"/>
      <c r="BMA12" s="782"/>
      <c r="BMB12" s="777"/>
      <c r="BMC12" s="778"/>
      <c r="BMD12" s="779"/>
      <c r="BME12" s="780"/>
      <c r="BMF12" s="781"/>
      <c r="BMG12" s="782"/>
      <c r="BMH12" s="782"/>
      <c r="BMI12" s="777"/>
      <c r="BMJ12" s="778"/>
      <c r="BMK12" s="779"/>
      <c r="BML12" s="780"/>
      <c r="BMM12" s="781"/>
      <c r="BMN12" s="782"/>
      <c r="BMO12" s="782"/>
      <c r="BMP12" s="777"/>
      <c r="BMQ12" s="778"/>
      <c r="BMR12" s="779"/>
      <c r="BMS12" s="780"/>
      <c r="BMT12" s="781"/>
      <c r="BMU12" s="782"/>
      <c r="BMV12" s="782"/>
      <c r="BMW12" s="777"/>
      <c r="BMX12" s="778"/>
      <c r="BMY12" s="779"/>
      <c r="BMZ12" s="780"/>
      <c r="BNA12" s="781"/>
      <c r="BNB12" s="782"/>
      <c r="BNC12" s="782"/>
      <c r="BND12" s="777"/>
      <c r="BNE12" s="778"/>
      <c r="BNF12" s="779"/>
      <c r="BNG12" s="780"/>
      <c r="BNH12" s="781"/>
      <c r="BNI12" s="782"/>
      <c r="BNJ12" s="782"/>
      <c r="BNK12" s="777"/>
      <c r="BNL12" s="778"/>
      <c r="BNM12" s="779"/>
      <c r="BNN12" s="780"/>
      <c r="BNO12" s="781"/>
      <c r="BNP12" s="782"/>
      <c r="BNQ12" s="782"/>
      <c r="BNR12" s="777"/>
      <c r="BNS12" s="778"/>
      <c r="BNT12" s="779"/>
      <c r="BNU12" s="780"/>
      <c r="BNV12" s="781"/>
      <c r="BNW12" s="782"/>
      <c r="BNX12" s="782"/>
      <c r="BNY12" s="777"/>
      <c r="BNZ12" s="778"/>
      <c r="BOA12" s="779"/>
      <c r="BOB12" s="780"/>
      <c r="BOC12" s="781"/>
      <c r="BOD12" s="782"/>
      <c r="BOE12" s="782"/>
      <c r="BOF12" s="777"/>
      <c r="BOG12" s="778"/>
      <c r="BOH12" s="779"/>
      <c r="BOI12" s="780"/>
      <c r="BOJ12" s="781"/>
      <c r="BOK12" s="782"/>
      <c r="BOL12" s="782"/>
      <c r="BOM12" s="777"/>
      <c r="BON12" s="778"/>
      <c r="BOO12" s="779"/>
      <c r="BOP12" s="780"/>
      <c r="BOQ12" s="781"/>
      <c r="BOR12" s="782"/>
      <c r="BOS12" s="782"/>
      <c r="BOT12" s="777"/>
      <c r="BOU12" s="778"/>
      <c r="BOV12" s="779"/>
      <c r="BOW12" s="780"/>
      <c r="BOX12" s="781"/>
      <c r="BOY12" s="782"/>
      <c r="BOZ12" s="782"/>
      <c r="BPA12" s="777"/>
      <c r="BPB12" s="778"/>
      <c r="BPC12" s="779"/>
      <c r="BPD12" s="780"/>
      <c r="BPE12" s="781"/>
      <c r="BPF12" s="782"/>
      <c r="BPG12" s="782"/>
      <c r="BPH12" s="777"/>
      <c r="BPI12" s="778"/>
      <c r="BPJ12" s="779"/>
      <c r="BPK12" s="780"/>
      <c r="BPL12" s="781"/>
      <c r="BPM12" s="782"/>
      <c r="BPN12" s="782"/>
      <c r="BPO12" s="777"/>
      <c r="BPP12" s="778"/>
      <c r="BPQ12" s="779"/>
      <c r="BPR12" s="780"/>
      <c r="BPS12" s="781"/>
      <c r="BPT12" s="782"/>
      <c r="BPU12" s="782"/>
      <c r="BPV12" s="777"/>
      <c r="BPW12" s="778"/>
      <c r="BPX12" s="779"/>
      <c r="BPY12" s="780"/>
      <c r="BPZ12" s="781"/>
      <c r="BQA12" s="782"/>
      <c r="BQB12" s="782"/>
      <c r="BQC12" s="777"/>
      <c r="BQD12" s="778"/>
      <c r="BQE12" s="779"/>
      <c r="BQF12" s="780"/>
      <c r="BQG12" s="781"/>
      <c r="BQH12" s="782"/>
      <c r="BQI12" s="782"/>
      <c r="BQJ12" s="777"/>
      <c r="BQK12" s="778"/>
      <c r="BQL12" s="779"/>
      <c r="BQM12" s="780"/>
      <c r="BQN12" s="781"/>
      <c r="BQO12" s="782"/>
      <c r="BQP12" s="782"/>
      <c r="BQQ12" s="777"/>
      <c r="BQR12" s="778"/>
      <c r="BQS12" s="779"/>
      <c r="BQT12" s="780"/>
      <c r="BQU12" s="781"/>
      <c r="BQV12" s="782"/>
      <c r="BQW12" s="782"/>
      <c r="BQX12" s="777"/>
      <c r="BQY12" s="778"/>
      <c r="BQZ12" s="779"/>
      <c r="BRA12" s="780"/>
      <c r="BRB12" s="781"/>
      <c r="BRC12" s="782"/>
      <c r="BRD12" s="782"/>
      <c r="BRE12" s="777"/>
      <c r="BRF12" s="778"/>
      <c r="BRG12" s="779"/>
      <c r="BRH12" s="780"/>
      <c r="BRI12" s="781"/>
      <c r="BRJ12" s="782"/>
      <c r="BRK12" s="782"/>
      <c r="BRL12" s="777"/>
      <c r="BRM12" s="778"/>
      <c r="BRN12" s="779"/>
      <c r="BRO12" s="780"/>
      <c r="BRP12" s="781"/>
      <c r="BRQ12" s="782"/>
      <c r="BRR12" s="782"/>
      <c r="BRS12" s="777"/>
      <c r="BRT12" s="778"/>
      <c r="BRU12" s="779"/>
      <c r="BRV12" s="780"/>
      <c r="BRW12" s="781"/>
      <c r="BRX12" s="782"/>
      <c r="BRY12" s="782"/>
      <c r="BRZ12" s="777"/>
      <c r="BSA12" s="778"/>
      <c r="BSB12" s="779"/>
      <c r="BSC12" s="780"/>
      <c r="BSD12" s="781"/>
      <c r="BSE12" s="782"/>
      <c r="BSF12" s="782"/>
      <c r="BSG12" s="777"/>
      <c r="BSH12" s="778"/>
      <c r="BSI12" s="779"/>
      <c r="BSJ12" s="780"/>
      <c r="BSK12" s="781"/>
      <c r="BSL12" s="782"/>
      <c r="BSM12" s="782"/>
      <c r="BSN12" s="777"/>
      <c r="BSO12" s="778"/>
      <c r="BSP12" s="779"/>
      <c r="BSQ12" s="780"/>
      <c r="BSR12" s="781"/>
      <c r="BSS12" s="782"/>
      <c r="BST12" s="782"/>
      <c r="BSU12" s="777"/>
      <c r="BSV12" s="778"/>
      <c r="BSW12" s="779"/>
      <c r="BSX12" s="780"/>
      <c r="BSY12" s="781"/>
      <c r="BSZ12" s="782"/>
      <c r="BTA12" s="782"/>
      <c r="BTB12" s="777"/>
      <c r="BTC12" s="778"/>
      <c r="BTD12" s="779"/>
      <c r="BTE12" s="780"/>
      <c r="BTF12" s="781"/>
      <c r="BTG12" s="782"/>
      <c r="BTH12" s="782"/>
      <c r="BTI12" s="777"/>
      <c r="BTJ12" s="778"/>
      <c r="BTK12" s="779"/>
      <c r="BTL12" s="780"/>
      <c r="BTM12" s="781"/>
      <c r="BTN12" s="782"/>
      <c r="BTO12" s="782"/>
      <c r="BTP12" s="777"/>
      <c r="BTQ12" s="778"/>
      <c r="BTR12" s="779"/>
      <c r="BTS12" s="780"/>
      <c r="BTT12" s="781"/>
      <c r="BTU12" s="782"/>
      <c r="BTV12" s="782"/>
      <c r="BTW12" s="777"/>
      <c r="BTX12" s="778"/>
      <c r="BTY12" s="779"/>
      <c r="BTZ12" s="780"/>
      <c r="BUA12" s="781"/>
      <c r="BUB12" s="782"/>
      <c r="BUC12" s="782"/>
      <c r="BUD12" s="777"/>
      <c r="BUE12" s="778"/>
      <c r="BUF12" s="779"/>
      <c r="BUG12" s="780"/>
      <c r="BUH12" s="781"/>
      <c r="BUI12" s="782"/>
      <c r="BUJ12" s="782"/>
      <c r="BUK12" s="777"/>
      <c r="BUL12" s="778"/>
      <c r="BUM12" s="779"/>
      <c r="BUN12" s="780"/>
      <c r="BUO12" s="781"/>
      <c r="BUP12" s="782"/>
      <c r="BUQ12" s="782"/>
      <c r="BUR12" s="777"/>
      <c r="BUS12" s="778"/>
      <c r="BUT12" s="779"/>
      <c r="BUU12" s="780"/>
      <c r="BUV12" s="781"/>
      <c r="BUW12" s="782"/>
      <c r="BUX12" s="782"/>
      <c r="BUY12" s="777"/>
      <c r="BUZ12" s="778"/>
      <c r="BVA12" s="779"/>
      <c r="BVB12" s="780"/>
      <c r="BVC12" s="781"/>
      <c r="BVD12" s="782"/>
      <c r="BVE12" s="782"/>
      <c r="BVF12" s="777"/>
      <c r="BVG12" s="778"/>
      <c r="BVH12" s="779"/>
      <c r="BVI12" s="780"/>
      <c r="BVJ12" s="781"/>
      <c r="BVK12" s="782"/>
      <c r="BVL12" s="782"/>
      <c r="BVM12" s="777"/>
      <c r="BVN12" s="778"/>
      <c r="BVO12" s="779"/>
      <c r="BVP12" s="780"/>
      <c r="BVQ12" s="781"/>
      <c r="BVR12" s="782"/>
      <c r="BVS12" s="782"/>
      <c r="BVT12" s="777"/>
      <c r="BVU12" s="778"/>
      <c r="BVV12" s="779"/>
      <c r="BVW12" s="780"/>
      <c r="BVX12" s="781"/>
      <c r="BVY12" s="782"/>
      <c r="BVZ12" s="782"/>
      <c r="BWA12" s="777"/>
      <c r="BWB12" s="778"/>
      <c r="BWC12" s="779"/>
      <c r="BWD12" s="780"/>
      <c r="BWE12" s="781"/>
      <c r="BWF12" s="782"/>
      <c r="BWG12" s="782"/>
      <c r="BWH12" s="777"/>
      <c r="BWI12" s="778"/>
      <c r="BWJ12" s="779"/>
      <c r="BWK12" s="780"/>
      <c r="BWL12" s="781"/>
      <c r="BWM12" s="782"/>
      <c r="BWN12" s="782"/>
      <c r="BWO12" s="777"/>
      <c r="BWP12" s="778"/>
      <c r="BWQ12" s="779"/>
      <c r="BWR12" s="780"/>
      <c r="BWS12" s="781"/>
      <c r="BWT12" s="782"/>
      <c r="BWU12" s="782"/>
      <c r="BWV12" s="777"/>
      <c r="BWW12" s="778"/>
      <c r="BWX12" s="779"/>
      <c r="BWY12" s="780"/>
      <c r="BWZ12" s="781"/>
      <c r="BXA12" s="782"/>
      <c r="BXB12" s="782"/>
      <c r="BXC12" s="777"/>
      <c r="BXD12" s="778"/>
      <c r="BXE12" s="779"/>
      <c r="BXF12" s="780"/>
      <c r="BXG12" s="781"/>
      <c r="BXH12" s="782"/>
      <c r="BXI12" s="782"/>
      <c r="BXJ12" s="777"/>
      <c r="BXK12" s="778"/>
      <c r="BXL12" s="779"/>
      <c r="BXM12" s="780"/>
      <c r="BXN12" s="781"/>
      <c r="BXO12" s="782"/>
      <c r="BXP12" s="782"/>
      <c r="BXQ12" s="777"/>
      <c r="BXR12" s="778"/>
      <c r="BXS12" s="779"/>
      <c r="BXT12" s="780"/>
      <c r="BXU12" s="781"/>
      <c r="BXV12" s="782"/>
      <c r="BXW12" s="782"/>
      <c r="BXX12" s="777"/>
      <c r="BXY12" s="778"/>
      <c r="BXZ12" s="779"/>
      <c r="BYA12" s="780"/>
      <c r="BYB12" s="781"/>
      <c r="BYC12" s="782"/>
      <c r="BYD12" s="782"/>
      <c r="BYE12" s="777"/>
      <c r="BYF12" s="778"/>
      <c r="BYG12" s="779"/>
      <c r="BYH12" s="780"/>
      <c r="BYI12" s="781"/>
      <c r="BYJ12" s="782"/>
      <c r="BYK12" s="782"/>
      <c r="BYL12" s="777"/>
      <c r="BYM12" s="778"/>
      <c r="BYN12" s="779"/>
      <c r="BYO12" s="780"/>
      <c r="BYP12" s="781"/>
      <c r="BYQ12" s="782"/>
      <c r="BYR12" s="782"/>
      <c r="BYS12" s="777"/>
      <c r="BYT12" s="778"/>
      <c r="BYU12" s="779"/>
      <c r="BYV12" s="780"/>
      <c r="BYW12" s="781"/>
      <c r="BYX12" s="782"/>
      <c r="BYY12" s="782"/>
      <c r="BYZ12" s="777"/>
      <c r="BZA12" s="778"/>
      <c r="BZB12" s="779"/>
      <c r="BZC12" s="780"/>
      <c r="BZD12" s="781"/>
      <c r="BZE12" s="782"/>
      <c r="BZF12" s="782"/>
      <c r="BZG12" s="777"/>
      <c r="BZH12" s="778"/>
      <c r="BZI12" s="779"/>
      <c r="BZJ12" s="780"/>
      <c r="BZK12" s="781"/>
      <c r="BZL12" s="782"/>
      <c r="BZM12" s="782"/>
      <c r="BZN12" s="777"/>
      <c r="BZO12" s="778"/>
      <c r="BZP12" s="779"/>
      <c r="BZQ12" s="780"/>
      <c r="BZR12" s="781"/>
      <c r="BZS12" s="782"/>
      <c r="BZT12" s="782"/>
      <c r="BZU12" s="777"/>
      <c r="BZV12" s="778"/>
      <c r="BZW12" s="779"/>
      <c r="BZX12" s="780"/>
      <c r="BZY12" s="781"/>
      <c r="BZZ12" s="782"/>
      <c r="CAA12" s="782"/>
      <c r="CAB12" s="777"/>
      <c r="CAC12" s="778"/>
      <c r="CAD12" s="779"/>
      <c r="CAE12" s="780"/>
      <c r="CAF12" s="781"/>
      <c r="CAG12" s="782"/>
      <c r="CAH12" s="782"/>
      <c r="CAI12" s="777"/>
      <c r="CAJ12" s="778"/>
      <c r="CAK12" s="779"/>
      <c r="CAL12" s="780"/>
      <c r="CAM12" s="781"/>
      <c r="CAN12" s="782"/>
      <c r="CAO12" s="782"/>
      <c r="CAP12" s="777"/>
      <c r="CAQ12" s="778"/>
      <c r="CAR12" s="779"/>
      <c r="CAS12" s="780"/>
      <c r="CAT12" s="781"/>
      <c r="CAU12" s="782"/>
      <c r="CAV12" s="782"/>
      <c r="CAW12" s="777"/>
      <c r="CAX12" s="778"/>
      <c r="CAY12" s="779"/>
      <c r="CAZ12" s="780"/>
      <c r="CBA12" s="781"/>
      <c r="CBB12" s="782"/>
      <c r="CBC12" s="782"/>
      <c r="CBD12" s="777"/>
      <c r="CBE12" s="778"/>
      <c r="CBF12" s="779"/>
      <c r="CBG12" s="780"/>
      <c r="CBH12" s="781"/>
      <c r="CBI12" s="782"/>
      <c r="CBJ12" s="782"/>
      <c r="CBK12" s="777"/>
      <c r="CBL12" s="778"/>
      <c r="CBM12" s="779"/>
      <c r="CBN12" s="780"/>
      <c r="CBO12" s="781"/>
      <c r="CBP12" s="782"/>
      <c r="CBQ12" s="782"/>
      <c r="CBR12" s="777"/>
      <c r="CBS12" s="778"/>
      <c r="CBT12" s="779"/>
      <c r="CBU12" s="780"/>
      <c r="CBV12" s="781"/>
      <c r="CBW12" s="782"/>
      <c r="CBX12" s="782"/>
      <c r="CBY12" s="777"/>
      <c r="CBZ12" s="778"/>
      <c r="CCA12" s="779"/>
      <c r="CCB12" s="780"/>
      <c r="CCC12" s="781"/>
      <c r="CCD12" s="782"/>
      <c r="CCE12" s="782"/>
      <c r="CCF12" s="777"/>
      <c r="CCG12" s="778"/>
      <c r="CCH12" s="779"/>
      <c r="CCI12" s="780"/>
      <c r="CCJ12" s="781"/>
      <c r="CCK12" s="782"/>
      <c r="CCL12" s="782"/>
      <c r="CCM12" s="777"/>
      <c r="CCN12" s="778"/>
      <c r="CCO12" s="779"/>
      <c r="CCP12" s="780"/>
      <c r="CCQ12" s="781"/>
      <c r="CCR12" s="782"/>
      <c r="CCS12" s="782"/>
      <c r="CCT12" s="777"/>
      <c r="CCU12" s="778"/>
      <c r="CCV12" s="779"/>
      <c r="CCW12" s="780"/>
      <c r="CCX12" s="781"/>
      <c r="CCY12" s="782"/>
      <c r="CCZ12" s="782"/>
      <c r="CDA12" s="777"/>
      <c r="CDB12" s="778"/>
      <c r="CDC12" s="779"/>
      <c r="CDD12" s="780"/>
      <c r="CDE12" s="781"/>
      <c r="CDF12" s="782"/>
      <c r="CDG12" s="782"/>
      <c r="CDH12" s="777"/>
      <c r="CDI12" s="778"/>
      <c r="CDJ12" s="779"/>
      <c r="CDK12" s="780"/>
      <c r="CDL12" s="781"/>
      <c r="CDM12" s="782"/>
      <c r="CDN12" s="782"/>
      <c r="CDO12" s="777"/>
      <c r="CDP12" s="778"/>
      <c r="CDQ12" s="779"/>
      <c r="CDR12" s="780"/>
      <c r="CDS12" s="781"/>
      <c r="CDT12" s="782"/>
      <c r="CDU12" s="782"/>
      <c r="CDV12" s="777"/>
      <c r="CDW12" s="778"/>
      <c r="CDX12" s="779"/>
      <c r="CDY12" s="780"/>
      <c r="CDZ12" s="781"/>
      <c r="CEA12" s="782"/>
      <c r="CEB12" s="782"/>
      <c r="CEC12" s="777"/>
      <c r="CED12" s="778"/>
      <c r="CEE12" s="779"/>
      <c r="CEF12" s="780"/>
      <c r="CEG12" s="781"/>
      <c r="CEH12" s="782"/>
      <c r="CEI12" s="782"/>
      <c r="CEJ12" s="777"/>
      <c r="CEK12" s="778"/>
      <c r="CEL12" s="779"/>
      <c r="CEM12" s="780"/>
      <c r="CEN12" s="781"/>
      <c r="CEO12" s="782"/>
      <c r="CEP12" s="782"/>
      <c r="CEQ12" s="777"/>
      <c r="CER12" s="778"/>
      <c r="CES12" s="779"/>
      <c r="CET12" s="780"/>
      <c r="CEU12" s="781"/>
      <c r="CEV12" s="782"/>
      <c r="CEW12" s="782"/>
      <c r="CEX12" s="777"/>
      <c r="CEY12" s="778"/>
      <c r="CEZ12" s="779"/>
      <c r="CFA12" s="780"/>
      <c r="CFB12" s="781"/>
      <c r="CFC12" s="782"/>
      <c r="CFD12" s="782"/>
      <c r="CFE12" s="777"/>
      <c r="CFF12" s="778"/>
      <c r="CFG12" s="779"/>
      <c r="CFH12" s="780"/>
      <c r="CFI12" s="781"/>
      <c r="CFJ12" s="782"/>
      <c r="CFK12" s="782"/>
      <c r="CFL12" s="777"/>
      <c r="CFM12" s="778"/>
      <c r="CFN12" s="779"/>
      <c r="CFO12" s="780"/>
      <c r="CFP12" s="781"/>
      <c r="CFQ12" s="782"/>
      <c r="CFR12" s="782"/>
      <c r="CFS12" s="777"/>
      <c r="CFT12" s="778"/>
      <c r="CFU12" s="779"/>
      <c r="CFV12" s="780"/>
      <c r="CFW12" s="781"/>
      <c r="CFX12" s="782"/>
      <c r="CFY12" s="782"/>
      <c r="CFZ12" s="777"/>
      <c r="CGA12" s="778"/>
      <c r="CGB12" s="779"/>
      <c r="CGC12" s="780"/>
      <c r="CGD12" s="781"/>
      <c r="CGE12" s="782"/>
      <c r="CGF12" s="782"/>
      <c r="CGG12" s="777"/>
      <c r="CGH12" s="778"/>
      <c r="CGI12" s="779"/>
      <c r="CGJ12" s="780"/>
      <c r="CGK12" s="781"/>
      <c r="CGL12" s="782"/>
      <c r="CGM12" s="782"/>
      <c r="CGN12" s="777"/>
      <c r="CGO12" s="778"/>
      <c r="CGP12" s="779"/>
      <c r="CGQ12" s="780"/>
      <c r="CGR12" s="781"/>
      <c r="CGS12" s="782"/>
      <c r="CGT12" s="782"/>
      <c r="CGU12" s="777"/>
      <c r="CGV12" s="778"/>
      <c r="CGW12" s="779"/>
      <c r="CGX12" s="780"/>
      <c r="CGY12" s="781"/>
      <c r="CGZ12" s="782"/>
      <c r="CHA12" s="782"/>
      <c r="CHB12" s="777"/>
      <c r="CHC12" s="778"/>
      <c r="CHD12" s="779"/>
      <c r="CHE12" s="780"/>
      <c r="CHF12" s="781"/>
      <c r="CHG12" s="782"/>
      <c r="CHH12" s="782"/>
      <c r="CHI12" s="777"/>
      <c r="CHJ12" s="778"/>
      <c r="CHK12" s="779"/>
      <c r="CHL12" s="780"/>
      <c r="CHM12" s="781"/>
      <c r="CHN12" s="782"/>
      <c r="CHO12" s="782"/>
      <c r="CHP12" s="777"/>
      <c r="CHQ12" s="778"/>
      <c r="CHR12" s="779"/>
      <c r="CHS12" s="780"/>
      <c r="CHT12" s="781"/>
      <c r="CHU12" s="782"/>
      <c r="CHV12" s="782"/>
      <c r="CHW12" s="777"/>
      <c r="CHX12" s="778"/>
      <c r="CHY12" s="779"/>
      <c r="CHZ12" s="780"/>
      <c r="CIA12" s="781"/>
      <c r="CIB12" s="782"/>
      <c r="CIC12" s="782"/>
      <c r="CID12" s="777"/>
      <c r="CIE12" s="778"/>
      <c r="CIF12" s="779"/>
      <c r="CIG12" s="780"/>
      <c r="CIH12" s="781"/>
      <c r="CII12" s="782"/>
      <c r="CIJ12" s="782"/>
      <c r="CIK12" s="777"/>
      <c r="CIL12" s="778"/>
      <c r="CIM12" s="779"/>
      <c r="CIN12" s="780"/>
      <c r="CIO12" s="781"/>
      <c r="CIP12" s="782"/>
      <c r="CIQ12" s="782"/>
      <c r="CIR12" s="777"/>
      <c r="CIS12" s="778"/>
      <c r="CIT12" s="779"/>
      <c r="CIU12" s="780"/>
      <c r="CIV12" s="781"/>
      <c r="CIW12" s="782"/>
      <c r="CIX12" s="782"/>
      <c r="CIY12" s="777"/>
      <c r="CIZ12" s="778"/>
      <c r="CJA12" s="779"/>
      <c r="CJB12" s="780"/>
      <c r="CJC12" s="781"/>
      <c r="CJD12" s="782"/>
      <c r="CJE12" s="782"/>
      <c r="CJF12" s="777"/>
      <c r="CJG12" s="778"/>
      <c r="CJH12" s="779"/>
      <c r="CJI12" s="780"/>
      <c r="CJJ12" s="781"/>
      <c r="CJK12" s="782"/>
      <c r="CJL12" s="782"/>
      <c r="CJM12" s="777"/>
      <c r="CJN12" s="778"/>
      <c r="CJO12" s="779"/>
      <c r="CJP12" s="780"/>
      <c r="CJQ12" s="781"/>
      <c r="CJR12" s="782"/>
      <c r="CJS12" s="782"/>
      <c r="CJT12" s="777"/>
      <c r="CJU12" s="778"/>
      <c r="CJV12" s="779"/>
      <c r="CJW12" s="780"/>
      <c r="CJX12" s="781"/>
      <c r="CJY12" s="782"/>
      <c r="CJZ12" s="782"/>
      <c r="CKA12" s="777"/>
      <c r="CKB12" s="778"/>
      <c r="CKC12" s="779"/>
      <c r="CKD12" s="780"/>
      <c r="CKE12" s="781"/>
      <c r="CKF12" s="782"/>
      <c r="CKG12" s="782"/>
      <c r="CKH12" s="777"/>
      <c r="CKI12" s="778"/>
      <c r="CKJ12" s="779"/>
      <c r="CKK12" s="780"/>
      <c r="CKL12" s="781"/>
      <c r="CKM12" s="782"/>
      <c r="CKN12" s="782"/>
      <c r="CKO12" s="777"/>
      <c r="CKP12" s="778"/>
      <c r="CKQ12" s="779"/>
      <c r="CKR12" s="780"/>
      <c r="CKS12" s="781"/>
      <c r="CKT12" s="782"/>
      <c r="CKU12" s="782"/>
      <c r="CKV12" s="777"/>
      <c r="CKW12" s="778"/>
      <c r="CKX12" s="779"/>
      <c r="CKY12" s="780"/>
      <c r="CKZ12" s="781"/>
      <c r="CLA12" s="782"/>
      <c r="CLB12" s="782"/>
      <c r="CLC12" s="777"/>
      <c r="CLD12" s="778"/>
      <c r="CLE12" s="779"/>
      <c r="CLF12" s="780"/>
      <c r="CLG12" s="781"/>
      <c r="CLH12" s="782"/>
      <c r="CLI12" s="782"/>
      <c r="CLJ12" s="777"/>
      <c r="CLK12" s="778"/>
      <c r="CLL12" s="779"/>
      <c r="CLM12" s="780"/>
      <c r="CLN12" s="781"/>
      <c r="CLO12" s="782"/>
      <c r="CLP12" s="782"/>
      <c r="CLQ12" s="777"/>
      <c r="CLR12" s="778"/>
      <c r="CLS12" s="779"/>
      <c r="CLT12" s="780"/>
      <c r="CLU12" s="781"/>
      <c r="CLV12" s="782"/>
      <c r="CLW12" s="782"/>
      <c r="CLX12" s="777"/>
      <c r="CLY12" s="778"/>
      <c r="CLZ12" s="779"/>
      <c r="CMA12" s="780"/>
      <c r="CMB12" s="781"/>
      <c r="CMC12" s="782"/>
      <c r="CMD12" s="782"/>
      <c r="CME12" s="777"/>
      <c r="CMF12" s="778"/>
      <c r="CMG12" s="779"/>
      <c r="CMH12" s="780"/>
      <c r="CMI12" s="781"/>
      <c r="CMJ12" s="782"/>
      <c r="CMK12" s="782"/>
      <c r="CML12" s="777"/>
      <c r="CMM12" s="778"/>
      <c r="CMN12" s="779"/>
      <c r="CMO12" s="780"/>
      <c r="CMP12" s="781"/>
      <c r="CMQ12" s="782"/>
      <c r="CMR12" s="782"/>
      <c r="CMS12" s="777"/>
      <c r="CMT12" s="778"/>
      <c r="CMU12" s="779"/>
      <c r="CMV12" s="780"/>
      <c r="CMW12" s="781"/>
      <c r="CMX12" s="782"/>
      <c r="CMY12" s="782"/>
      <c r="CMZ12" s="777"/>
      <c r="CNA12" s="778"/>
      <c r="CNB12" s="779"/>
      <c r="CNC12" s="780"/>
      <c r="CND12" s="781"/>
      <c r="CNE12" s="782"/>
      <c r="CNF12" s="782"/>
      <c r="CNG12" s="777"/>
      <c r="CNH12" s="778"/>
      <c r="CNI12" s="779"/>
      <c r="CNJ12" s="780"/>
      <c r="CNK12" s="781"/>
      <c r="CNL12" s="782"/>
      <c r="CNM12" s="782"/>
      <c r="CNN12" s="777"/>
      <c r="CNO12" s="778"/>
      <c r="CNP12" s="779"/>
      <c r="CNQ12" s="780"/>
      <c r="CNR12" s="781"/>
      <c r="CNS12" s="782"/>
      <c r="CNT12" s="782"/>
      <c r="CNU12" s="777"/>
      <c r="CNV12" s="778"/>
      <c r="CNW12" s="779"/>
      <c r="CNX12" s="780"/>
      <c r="CNY12" s="781"/>
      <c r="CNZ12" s="782"/>
      <c r="COA12" s="782"/>
      <c r="COB12" s="777"/>
      <c r="COC12" s="778"/>
      <c r="COD12" s="779"/>
      <c r="COE12" s="780"/>
      <c r="COF12" s="781"/>
      <c r="COG12" s="782"/>
      <c r="COH12" s="782"/>
      <c r="COI12" s="777"/>
      <c r="COJ12" s="778"/>
      <c r="COK12" s="779"/>
      <c r="COL12" s="780"/>
      <c r="COM12" s="781"/>
      <c r="CON12" s="782"/>
      <c r="COO12" s="782"/>
      <c r="COP12" s="777"/>
      <c r="COQ12" s="778"/>
      <c r="COR12" s="779"/>
      <c r="COS12" s="780"/>
      <c r="COT12" s="781"/>
      <c r="COU12" s="782"/>
      <c r="COV12" s="782"/>
      <c r="COW12" s="777"/>
      <c r="COX12" s="778"/>
      <c r="COY12" s="779"/>
      <c r="COZ12" s="780"/>
      <c r="CPA12" s="781"/>
      <c r="CPB12" s="782"/>
      <c r="CPC12" s="782"/>
      <c r="CPD12" s="777"/>
      <c r="CPE12" s="778"/>
      <c r="CPF12" s="779"/>
      <c r="CPG12" s="780"/>
      <c r="CPH12" s="781"/>
      <c r="CPI12" s="782"/>
      <c r="CPJ12" s="782"/>
      <c r="CPK12" s="777"/>
      <c r="CPL12" s="778"/>
      <c r="CPM12" s="779"/>
      <c r="CPN12" s="780"/>
      <c r="CPO12" s="781"/>
      <c r="CPP12" s="782"/>
      <c r="CPQ12" s="782"/>
      <c r="CPR12" s="777"/>
      <c r="CPS12" s="778"/>
      <c r="CPT12" s="779"/>
      <c r="CPU12" s="780"/>
      <c r="CPV12" s="781"/>
      <c r="CPW12" s="782"/>
      <c r="CPX12" s="782"/>
      <c r="CPY12" s="777"/>
      <c r="CPZ12" s="778"/>
      <c r="CQA12" s="779"/>
      <c r="CQB12" s="780"/>
      <c r="CQC12" s="781"/>
      <c r="CQD12" s="782"/>
      <c r="CQE12" s="782"/>
      <c r="CQF12" s="777"/>
      <c r="CQG12" s="778"/>
      <c r="CQH12" s="779"/>
      <c r="CQI12" s="780"/>
      <c r="CQJ12" s="781"/>
      <c r="CQK12" s="782"/>
      <c r="CQL12" s="782"/>
      <c r="CQM12" s="777"/>
      <c r="CQN12" s="778"/>
      <c r="CQO12" s="779"/>
      <c r="CQP12" s="780"/>
      <c r="CQQ12" s="781"/>
      <c r="CQR12" s="782"/>
      <c r="CQS12" s="782"/>
      <c r="CQT12" s="777"/>
      <c r="CQU12" s="778"/>
      <c r="CQV12" s="779"/>
      <c r="CQW12" s="780"/>
      <c r="CQX12" s="781"/>
      <c r="CQY12" s="782"/>
      <c r="CQZ12" s="782"/>
      <c r="CRA12" s="777"/>
      <c r="CRB12" s="778"/>
      <c r="CRC12" s="779"/>
      <c r="CRD12" s="780"/>
      <c r="CRE12" s="781"/>
      <c r="CRF12" s="782"/>
      <c r="CRG12" s="782"/>
      <c r="CRH12" s="777"/>
      <c r="CRI12" s="778"/>
      <c r="CRJ12" s="779"/>
      <c r="CRK12" s="780"/>
      <c r="CRL12" s="781"/>
      <c r="CRM12" s="782"/>
      <c r="CRN12" s="782"/>
      <c r="CRO12" s="777"/>
      <c r="CRP12" s="778"/>
      <c r="CRQ12" s="779"/>
      <c r="CRR12" s="780"/>
      <c r="CRS12" s="781"/>
      <c r="CRT12" s="782"/>
      <c r="CRU12" s="782"/>
      <c r="CRV12" s="777"/>
      <c r="CRW12" s="778"/>
      <c r="CRX12" s="779"/>
      <c r="CRY12" s="780"/>
      <c r="CRZ12" s="781"/>
      <c r="CSA12" s="782"/>
      <c r="CSB12" s="782"/>
      <c r="CSC12" s="777"/>
      <c r="CSD12" s="778"/>
      <c r="CSE12" s="779"/>
      <c r="CSF12" s="780"/>
      <c r="CSG12" s="781"/>
      <c r="CSH12" s="782"/>
      <c r="CSI12" s="782"/>
      <c r="CSJ12" s="777"/>
      <c r="CSK12" s="778"/>
      <c r="CSL12" s="779"/>
      <c r="CSM12" s="780"/>
      <c r="CSN12" s="781"/>
      <c r="CSO12" s="782"/>
      <c r="CSP12" s="782"/>
      <c r="CSQ12" s="777"/>
      <c r="CSR12" s="778"/>
      <c r="CSS12" s="779"/>
      <c r="CST12" s="780"/>
      <c r="CSU12" s="781"/>
      <c r="CSV12" s="782"/>
      <c r="CSW12" s="782"/>
      <c r="CSX12" s="777"/>
      <c r="CSY12" s="778"/>
      <c r="CSZ12" s="779"/>
      <c r="CTA12" s="780"/>
      <c r="CTB12" s="781"/>
      <c r="CTC12" s="782"/>
      <c r="CTD12" s="782"/>
      <c r="CTE12" s="777"/>
      <c r="CTF12" s="778"/>
      <c r="CTG12" s="779"/>
      <c r="CTH12" s="780"/>
      <c r="CTI12" s="781"/>
      <c r="CTJ12" s="782"/>
      <c r="CTK12" s="782"/>
      <c r="CTL12" s="777"/>
      <c r="CTM12" s="778"/>
      <c r="CTN12" s="779"/>
      <c r="CTO12" s="780"/>
      <c r="CTP12" s="781"/>
      <c r="CTQ12" s="782"/>
      <c r="CTR12" s="782"/>
      <c r="CTS12" s="777"/>
      <c r="CTT12" s="778"/>
      <c r="CTU12" s="779"/>
      <c r="CTV12" s="780"/>
      <c r="CTW12" s="781"/>
      <c r="CTX12" s="782"/>
      <c r="CTY12" s="782"/>
      <c r="CTZ12" s="777"/>
      <c r="CUA12" s="778"/>
      <c r="CUB12" s="779"/>
      <c r="CUC12" s="780"/>
      <c r="CUD12" s="781"/>
      <c r="CUE12" s="782"/>
      <c r="CUF12" s="782"/>
      <c r="CUG12" s="777"/>
      <c r="CUH12" s="778"/>
      <c r="CUI12" s="779"/>
      <c r="CUJ12" s="780"/>
      <c r="CUK12" s="781"/>
      <c r="CUL12" s="782"/>
      <c r="CUM12" s="782"/>
      <c r="CUN12" s="777"/>
      <c r="CUO12" s="778"/>
      <c r="CUP12" s="779"/>
      <c r="CUQ12" s="780"/>
      <c r="CUR12" s="781"/>
      <c r="CUS12" s="782"/>
      <c r="CUT12" s="782"/>
      <c r="CUU12" s="777"/>
      <c r="CUV12" s="778"/>
      <c r="CUW12" s="779"/>
      <c r="CUX12" s="780"/>
      <c r="CUY12" s="781"/>
      <c r="CUZ12" s="782"/>
      <c r="CVA12" s="782"/>
      <c r="CVB12" s="777"/>
      <c r="CVC12" s="778"/>
      <c r="CVD12" s="779"/>
      <c r="CVE12" s="780"/>
      <c r="CVF12" s="781"/>
      <c r="CVG12" s="782"/>
      <c r="CVH12" s="782"/>
      <c r="CVI12" s="777"/>
      <c r="CVJ12" s="778"/>
      <c r="CVK12" s="779"/>
      <c r="CVL12" s="780"/>
      <c r="CVM12" s="781"/>
      <c r="CVN12" s="782"/>
      <c r="CVO12" s="782"/>
      <c r="CVP12" s="777"/>
      <c r="CVQ12" s="778"/>
      <c r="CVR12" s="779"/>
      <c r="CVS12" s="780"/>
      <c r="CVT12" s="781"/>
      <c r="CVU12" s="782"/>
      <c r="CVV12" s="782"/>
      <c r="CVW12" s="777"/>
      <c r="CVX12" s="778"/>
      <c r="CVY12" s="779"/>
      <c r="CVZ12" s="780"/>
      <c r="CWA12" s="781"/>
      <c r="CWB12" s="782"/>
      <c r="CWC12" s="782"/>
      <c r="CWD12" s="777"/>
      <c r="CWE12" s="778"/>
      <c r="CWF12" s="779"/>
      <c r="CWG12" s="780"/>
      <c r="CWH12" s="781"/>
      <c r="CWI12" s="782"/>
      <c r="CWJ12" s="782"/>
      <c r="CWK12" s="777"/>
      <c r="CWL12" s="778"/>
      <c r="CWM12" s="779"/>
      <c r="CWN12" s="780"/>
      <c r="CWO12" s="781"/>
      <c r="CWP12" s="782"/>
      <c r="CWQ12" s="782"/>
      <c r="CWR12" s="777"/>
      <c r="CWS12" s="778"/>
      <c r="CWT12" s="779"/>
      <c r="CWU12" s="780"/>
      <c r="CWV12" s="781"/>
      <c r="CWW12" s="782"/>
      <c r="CWX12" s="782"/>
      <c r="CWY12" s="777"/>
      <c r="CWZ12" s="778"/>
      <c r="CXA12" s="779"/>
      <c r="CXB12" s="780"/>
      <c r="CXC12" s="781"/>
      <c r="CXD12" s="782"/>
      <c r="CXE12" s="782"/>
      <c r="CXF12" s="777"/>
      <c r="CXG12" s="778"/>
      <c r="CXH12" s="779"/>
      <c r="CXI12" s="780"/>
      <c r="CXJ12" s="781"/>
      <c r="CXK12" s="782"/>
      <c r="CXL12" s="782"/>
      <c r="CXM12" s="777"/>
      <c r="CXN12" s="778"/>
      <c r="CXO12" s="779"/>
      <c r="CXP12" s="780"/>
      <c r="CXQ12" s="781"/>
      <c r="CXR12" s="782"/>
      <c r="CXS12" s="782"/>
      <c r="CXT12" s="777"/>
      <c r="CXU12" s="778"/>
      <c r="CXV12" s="779"/>
      <c r="CXW12" s="780"/>
      <c r="CXX12" s="781"/>
      <c r="CXY12" s="782"/>
      <c r="CXZ12" s="782"/>
      <c r="CYA12" s="777"/>
      <c r="CYB12" s="778"/>
      <c r="CYC12" s="779"/>
      <c r="CYD12" s="780"/>
      <c r="CYE12" s="781"/>
      <c r="CYF12" s="782"/>
      <c r="CYG12" s="782"/>
      <c r="CYH12" s="777"/>
      <c r="CYI12" s="778"/>
      <c r="CYJ12" s="779"/>
      <c r="CYK12" s="780"/>
      <c r="CYL12" s="781"/>
      <c r="CYM12" s="782"/>
      <c r="CYN12" s="782"/>
      <c r="CYO12" s="777"/>
      <c r="CYP12" s="778"/>
      <c r="CYQ12" s="779"/>
      <c r="CYR12" s="780"/>
      <c r="CYS12" s="781"/>
      <c r="CYT12" s="782"/>
      <c r="CYU12" s="782"/>
      <c r="CYV12" s="777"/>
      <c r="CYW12" s="778"/>
      <c r="CYX12" s="779"/>
      <c r="CYY12" s="780"/>
      <c r="CYZ12" s="781"/>
      <c r="CZA12" s="782"/>
      <c r="CZB12" s="782"/>
      <c r="CZC12" s="777"/>
      <c r="CZD12" s="778"/>
      <c r="CZE12" s="779"/>
      <c r="CZF12" s="780"/>
      <c r="CZG12" s="781"/>
      <c r="CZH12" s="782"/>
      <c r="CZI12" s="782"/>
      <c r="CZJ12" s="777"/>
      <c r="CZK12" s="778"/>
      <c r="CZL12" s="779"/>
      <c r="CZM12" s="780"/>
      <c r="CZN12" s="781"/>
      <c r="CZO12" s="782"/>
      <c r="CZP12" s="782"/>
      <c r="CZQ12" s="777"/>
      <c r="CZR12" s="778"/>
      <c r="CZS12" s="779"/>
      <c r="CZT12" s="780"/>
      <c r="CZU12" s="781"/>
      <c r="CZV12" s="782"/>
      <c r="CZW12" s="782"/>
      <c r="CZX12" s="777"/>
      <c r="CZY12" s="778"/>
      <c r="CZZ12" s="779"/>
      <c r="DAA12" s="780"/>
      <c r="DAB12" s="781"/>
      <c r="DAC12" s="782"/>
      <c r="DAD12" s="782"/>
      <c r="DAE12" s="777"/>
      <c r="DAF12" s="778"/>
      <c r="DAG12" s="779"/>
      <c r="DAH12" s="780"/>
      <c r="DAI12" s="781"/>
      <c r="DAJ12" s="782"/>
      <c r="DAK12" s="782"/>
      <c r="DAL12" s="777"/>
      <c r="DAM12" s="778"/>
      <c r="DAN12" s="779"/>
      <c r="DAO12" s="780"/>
      <c r="DAP12" s="781"/>
      <c r="DAQ12" s="782"/>
      <c r="DAR12" s="782"/>
      <c r="DAS12" s="777"/>
      <c r="DAT12" s="778"/>
      <c r="DAU12" s="779"/>
      <c r="DAV12" s="780"/>
      <c r="DAW12" s="781"/>
      <c r="DAX12" s="782"/>
      <c r="DAY12" s="782"/>
      <c r="DAZ12" s="777"/>
      <c r="DBA12" s="778"/>
      <c r="DBB12" s="779"/>
      <c r="DBC12" s="780"/>
      <c r="DBD12" s="781"/>
      <c r="DBE12" s="782"/>
      <c r="DBF12" s="782"/>
      <c r="DBG12" s="777"/>
      <c r="DBH12" s="778"/>
      <c r="DBI12" s="779"/>
      <c r="DBJ12" s="780"/>
      <c r="DBK12" s="781"/>
      <c r="DBL12" s="782"/>
      <c r="DBM12" s="782"/>
      <c r="DBN12" s="777"/>
      <c r="DBO12" s="778"/>
      <c r="DBP12" s="779"/>
      <c r="DBQ12" s="780"/>
      <c r="DBR12" s="781"/>
      <c r="DBS12" s="782"/>
      <c r="DBT12" s="782"/>
      <c r="DBU12" s="777"/>
      <c r="DBV12" s="778"/>
      <c r="DBW12" s="779"/>
      <c r="DBX12" s="780"/>
      <c r="DBY12" s="781"/>
      <c r="DBZ12" s="782"/>
      <c r="DCA12" s="782"/>
      <c r="DCB12" s="777"/>
      <c r="DCC12" s="778"/>
      <c r="DCD12" s="779"/>
      <c r="DCE12" s="780"/>
      <c r="DCF12" s="781"/>
      <c r="DCG12" s="782"/>
      <c r="DCH12" s="782"/>
      <c r="DCI12" s="777"/>
      <c r="DCJ12" s="778"/>
      <c r="DCK12" s="779"/>
      <c r="DCL12" s="780"/>
      <c r="DCM12" s="781"/>
      <c r="DCN12" s="782"/>
      <c r="DCO12" s="782"/>
      <c r="DCP12" s="777"/>
      <c r="DCQ12" s="778"/>
      <c r="DCR12" s="779"/>
      <c r="DCS12" s="780"/>
      <c r="DCT12" s="781"/>
      <c r="DCU12" s="782"/>
      <c r="DCV12" s="782"/>
      <c r="DCW12" s="777"/>
      <c r="DCX12" s="778"/>
      <c r="DCY12" s="779"/>
      <c r="DCZ12" s="780"/>
      <c r="DDA12" s="781"/>
      <c r="DDB12" s="782"/>
      <c r="DDC12" s="782"/>
      <c r="DDD12" s="777"/>
      <c r="DDE12" s="778"/>
      <c r="DDF12" s="779"/>
      <c r="DDG12" s="780"/>
      <c r="DDH12" s="781"/>
      <c r="DDI12" s="782"/>
      <c r="DDJ12" s="782"/>
      <c r="DDK12" s="777"/>
      <c r="DDL12" s="778"/>
      <c r="DDM12" s="779"/>
      <c r="DDN12" s="780"/>
      <c r="DDO12" s="781"/>
      <c r="DDP12" s="782"/>
      <c r="DDQ12" s="782"/>
      <c r="DDR12" s="777"/>
      <c r="DDS12" s="778"/>
      <c r="DDT12" s="779"/>
      <c r="DDU12" s="780"/>
      <c r="DDV12" s="781"/>
      <c r="DDW12" s="782"/>
      <c r="DDX12" s="782"/>
      <c r="DDY12" s="777"/>
      <c r="DDZ12" s="778"/>
      <c r="DEA12" s="779"/>
      <c r="DEB12" s="780"/>
      <c r="DEC12" s="781"/>
      <c r="DED12" s="782"/>
      <c r="DEE12" s="782"/>
      <c r="DEF12" s="777"/>
      <c r="DEG12" s="778"/>
      <c r="DEH12" s="779"/>
      <c r="DEI12" s="780"/>
      <c r="DEJ12" s="781"/>
      <c r="DEK12" s="782"/>
      <c r="DEL12" s="782"/>
      <c r="DEM12" s="777"/>
      <c r="DEN12" s="778"/>
      <c r="DEO12" s="779"/>
      <c r="DEP12" s="780"/>
      <c r="DEQ12" s="781"/>
      <c r="DER12" s="782"/>
      <c r="DES12" s="782"/>
      <c r="DET12" s="777"/>
      <c r="DEU12" s="778"/>
      <c r="DEV12" s="779"/>
      <c r="DEW12" s="780"/>
      <c r="DEX12" s="781"/>
      <c r="DEY12" s="782"/>
      <c r="DEZ12" s="782"/>
      <c r="DFA12" s="777"/>
      <c r="DFB12" s="778"/>
      <c r="DFC12" s="779"/>
      <c r="DFD12" s="780"/>
      <c r="DFE12" s="781"/>
      <c r="DFF12" s="782"/>
      <c r="DFG12" s="782"/>
      <c r="DFH12" s="777"/>
      <c r="DFI12" s="778"/>
      <c r="DFJ12" s="779"/>
      <c r="DFK12" s="780"/>
      <c r="DFL12" s="781"/>
      <c r="DFM12" s="782"/>
      <c r="DFN12" s="782"/>
      <c r="DFO12" s="777"/>
      <c r="DFP12" s="778"/>
      <c r="DFQ12" s="779"/>
      <c r="DFR12" s="780"/>
      <c r="DFS12" s="781"/>
      <c r="DFT12" s="782"/>
      <c r="DFU12" s="782"/>
      <c r="DFV12" s="777"/>
      <c r="DFW12" s="778"/>
      <c r="DFX12" s="779"/>
      <c r="DFY12" s="780"/>
      <c r="DFZ12" s="781"/>
      <c r="DGA12" s="782"/>
      <c r="DGB12" s="782"/>
      <c r="DGC12" s="777"/>
      <c r="DGD12" s="778"/>
      <c r="DGE12" s="779"/>
      <c r="DGF12" s="780"/>
      <c r="DGG12" s="781"/>
      <c r="DGH12" s="782"/>
      <c r="DGI12" s="782"/>
      <c r="DGJ12" s="777"/>
      <c r="DGK12" s="778"/>
      <c r="DGL12" s="779"/>
      <c r="DGM12" s="780"/>
      <c r="DGN12" s="781"/>
      <c r="DGO12" s="782"/>
      <c r="DGP12" s="782"/>
      <c r="DGQ12" s="777"/>
      <c r="DGR12" s="778"/>
      <c r="DGS12" s="779"/>
      <c r="DGT12" s="780"/>
      <c r="DGU12" s="781"/>
      <c r="DGV12" s="782"/>
      <c r="DGW12" s="782"/>
      <c r="DGX12" s="777"/>
      <c r="DGY12" s="778"/>
      <c r="DGZ12" s="779"/>
      <c r="DHA12" s="780"/>
      <c r="DHB12" s="781"/>
      <c r="DHC12" s="782"/>
      <c r="DHD12" s="782"/>
      <c r="DHE12" s="777"/>
      <c r="DHF12" s="778"/>
      <c r="DHG12" s="779"/>
      <c r="DHH12" s="780"/>
      <c r="DHI12" s="781"/>
      <c r="DHJ12" s="782"/>
      <c r="DHK12" s="782"/>
      <c r="DHL12" s="777"/>
      <c r="DHM12" s="778"/>
      <c r="DHN12" s="779"/>
      <c r="DHO12" s="780"/>
      <c r="DHP12" s="781"/>
      <c r="DHQ12" s="782"/>
      <c r="DHR12" s="782"/>
      <c r="DHS12" s="777"/>
      <c r="DHT12" s="778"/>
      <c r="DHU12" s="779"/>
      <c r="DHV12" s="780"/>
      <c r="DHW12" s="781"/>
      <c r="DHX12" s="782"/>
      <c r="DHY12" s="782"/>
      <c r="DHZ12" s="777"/>
      <c r="DIA12" s="778"/>
      <c r="DIB12" s="779"/>
      <c r="DIC12" s="780"/>
      <c r="DID12" s="781"/>
      <c r="DIE12" s="782"/>
      <c r="DIF12" s="782"/>
      <c r="DIG12" s="777"/>
      <c r="DIH12" s="778"/>
      <c r="DII12" s="779"/>
      <c r="DIJ12" s="780"/>
      <c r="DIK12" s="781"/>
      <c r="DIL12" s="782"/>
      <c r="DIM12" s="782"/>
      <c r="DIN12" s="777"/>
      <c r="DIO12" s="778"/>
      <c r="DIP12" s="779"/>
      <c r="DIQ12" s="780"/>
      <c r="DIR12" s="781"/>
      <c r="DIS12" s="782"/>
      <c r="DIT12" s="782"/>
      <c r="DIU12" s="777"/>
      <c r="DIV12" s="778"/>
      <c r="DIW12" s="779"/>
      <c r="DIX12" s="780"/>
      <c r="DIY12" s="781"/>
      <c r="DIZ12" s="782"/>
      <c r="DJA12" s="782"/>
      <c r="DJB12" s="777"/>
      <c r="DJC12" s="778"/>
      <c r="DJD12" s="779"/>
      <c r="DJE12" s="780"/>
      <c r="DJF12" s="781"/>
      <c r="DJG12" s="782"/>
      <c r="DJH12" s="782"/>
      <c r="DJI12" s="777"/>
      <c r="DJJ12" s="778"/>
      <c r="DJK12" s="779"/>
      <c r="DJL12" s="780"/>
      <c r="DJM12" s="781"/>
      <c r="DJN12" s="782"/>
      <c r="DJO12" s="782"/>
      <c r="DJP12" s="777"/>
      <c r="DJQ12" s="778"/>
      <c r="DJR12" s="779"/>
      <c r="DJS12" s="780"/>
      <c r="DJT12" s="781"/>
      <c r="DJU12" s="782"/>
      <c r="DJV12" s="782"/>
      <c r="DJW12" s="777"/>
      <c r="DJX12" s="778"/>
      <c r="DJY12" s="779"/>
      <c r="DJZ12" s="780"/>
      <c r="DKA12" s="781"/>
      <c r="DKB12" s="782"/>
      <c r="DKC12" s="782"/>
      <c r="DKD12" s="777"/>
      <c r="DKE12" s="778"/>
      <c r="DKF12" s="779"/>
      <c r="DKG12" s="780"/>
      <c r="DKH12" s="781"/>
      <c r="DKI12" s="782"/>
      <c r="DKJ12" s="782"/>
      <c r="DKK12" s="777"/>
      <c r="DKL12" s="778"/>
      <c r="DKM12" s="779"/>
      <c r="DKN12" s="780"/>
      <c r="DKO12" s="781"/>
      <c r="DKP12" s="782"/>
      <c r="DKQ12" s="782"/>
      <c r="DKR12" s="777"/>
      <c r="DKS12" s="778"/>
      <c r="DKT12" s="779"/>
      <c r="DKU12" s="780"/>
      <c r="DKV12" s="781"/>
      <c r="DKW12" s="782"/>
      <c r="DKX12" s="782"/>
      <c r="DKY12" s="777"/>
      <c r="DKZ12" s="778"/>
      <c r="DLA12" s="779"/>
      <c r="DLB12" s="780"/>
      <c r="DLC12" s="781"/>
      <c r="DLD12" s="782"/>
      <c r="DLE12" s="782"/>
      <c r="DLF12" s="777"/>
      <c r="DLG12" s="778"/>
      <c r="DLH12" s="779"/>
      <c r="DLI12" s="780"/>
      <c r="DLJ12" s="781"/>
      <c r="DLK12" s="782"/>
      <c r="DLL12" s="782"/>
      <c r="DLM12" s="777"/>
      <c r="DLN12" s="778"/>
      <c r="DLO12" s="779"/>
      <c r="DLP12" s="780"/>
      <c r="DLQ12" s="781"/>
      <c r="DLR12" s="782"/>
      <c r="DLS12" s="782"/>
      <c r="DLT12" s="777"/>
      <c r="DLU12" s="778"/>
      <c r="DLV12" s="779"/>
      <c r="DLW12" s="780"/>
      <c r="DLX12" s="781"/>
      <c r="DLY12" s="782"/>
      <c r="DLZ12" s="782"/>
      <c r="DMA12" s="777"/>
      <c r="DMB12" s="778"/>
      <c r="DMC12" s="779"/>
      <c r="DMD12" s="780"/>
      <c r="DME12" s="781"/>
      <c r="DMF12" s="782"/>
      <c r="DMG12" s="782"/>
      <c r="DMH12" s="777"/>
      <c r="DMI12" s="778"/>
      <c r="DMJ12" s="779"/>
      <c r="DMK12" s="780"/>
      <c r="DML12" s="781"/>
      <c r="DMM12" s="782"/>
      <c r="DMN12" s="782"/>
      <c r="DMO12" s="777"/>
      <c r="DMP12" s="778"/>
      <c r="DMQ12" s="779"/>
      <c r="DMR12" s="780"/>
      <c r="DMS12" s="781"/>
      <c r="DMT12" s="782"/>
      <c r="DMU12" s="782"/>
      <c r="DMV12" s="777"/>
      <c r="DMW12" s="778"/>
      <c r="DMX12" s="779"/>
      <c r="DMY12" s="780"/>
      <c r="DMZ12" s="781"/>
      <c r="DNA12" s="782"/>
      <c r="DNB12" s="782"/>
      <c r="DNC12" s="777"/>
      <c r="DND12" s="778"/>
      <c r="DNE12" s="779"/>
      <c r="DNF12" s="780"/>
      <c r="DNG12" s="781"/>
      <c r="DNH12" s="782"/>
      <c r="DNI12" s="782"/>
      <c r="DNJ12" s="777"/>
      <c r="DNK12" s="778"/>
      <c r="DNL12" s="779"/>
      <c r="DNM12" s="780"/>
      <c r="DNN12" s="781"/>
      <c r="DNO12" s="782"/>
      <c r="DNP12" s="782"/>
      <c r="DNQ12" s="777"/>
      <c r="DNR12" s="778"/>
      <c r="DNS12" s="779"/>
      <c r="DNT12" s="780"/>
      <c r="DNU12" s="781"/>
      <c r="DNV12" s="782"/>
      <c r="DNW12" s="782"/>
      <c r="DNX12" s="777"/>
      <c r="DNY12" s="778"/>
      <c r="DNZ12" s="779"/>
      <c r="DOA12" s="780"/>
      <c r="DOB12" s="781"/>
      <c r="DOC12" s="782"/>
      <c r="DOD12" s="782"/>
      <c r="DOE12" s="777"/>
      <c r="DOF12" s="778"/>
      <c r="DOG12" s="779"/>
      <c r="DOH12" s="780"/>
      <c r="DOI12" s="781"/>
      <c r="DOJ12" s="782"/>
      <c r="DOK12" s="782"/>
      <c r="DOL12" s="777"/>
      <c r="DOM12" s="778"/>
      <c r="DON12" s="779"/>
      <c r="DOO12" s="780"/>
      <c r="DOP12" s="781"/>
      <c r="DOQ12" s="782"/>
      <c r="DOR12" s="782"/>
      <c r="DOS12" s="777"/>
      <c r="DOT12" s="778"/>
      <c r="DOU12" s="779"/>
      <c r="DOV12" s="780"/>
      <c r="DOW12" s="781"/>
      <c r="DOX12" s="782"/>
      <c r="DOY12" s="782"/>
      <c r="DOZ12" s="777"/>
      <c r="DPA12" s="778"/>
      <c r="DPB12" s="779"/>
      <c r="DPC12" s="780"/>
      <c r="DPD12" s="781"/>
      <c r="DPE12" s="782"/>
      <c r="DPF12" s="782"/>
      <c r="DPG12" s="777"/>
      <c r="DPH12" s="778"/>
      <c r="DPI12" s="779"/>
      <c r="DPJ12" s="780"/>
      <c r="DPK12" s="781"/>
      <c r="DPL12" s="782"/>
      <c r="DPM12" s="782"/>
      <c r="DPN12" s="777"/>
      <c r="DPO12" s="778"/>
      <c r="DPP12" s="779"/>
      <c r="DPQ12" s="780"/>
      <c r="DPR12" s="781"/>
      <c r="DPS12" s="782"/>
      <c r="DPT12" s="782"/>
      <c r="DPU12" s="777"/>
      <c r="DPV12" s="778"/>
      <c r="DPW12" s="779"/>
      <c r="DPX12" s="780"/>
      <c r="DPY12" s="781"/>
      <c r="DPZ12" s="782"/>
      <c r="DQA12" s="782"/>
      <c r="DQB12" s="777"/>
      <c r="DQC12" s="778"/>
      <c r="DQD12" s="779"/>
      <c r="DQE12" s="780"/>
      <c r="DQF12" s="781"/>
      <c r="DQG12" s="782"/>
      <c r="DQH12" s="782"/>
      <c r="DQI12" s="777"/>
      <c r="DQJ12" s="778"/>
      <c r="DQK12" s="779"/>
      <c r="DQL12" s="780"/>
      <c r="DQM12" s="781"/>
      <c r="DQN12" s="782"/>
      <c r="DQO12" s="782"/>
      <c r="DQP12" s="777"/>
      <c r="DQQ12" s="778"/>
      <c r="DQR12" s="779"/>
      <c r="DQS12" s="780"/>
      <c r="DQT12" s="781"/>
      <c r="DQU12" s="782"/>
      <c r="DQV12" s="782"/>
      <c r="DQW12" s="777"/>
      <c r="DQX12" s="778"/>
      <c r="DQY12" s="779"/>
      <c r="DQZ12" s="780"/>
      <c r="DRA12" s="781"/>
      <c r="DRB12" s="782"/>
      <c r="DRC12" s="782"/>
      <c r="DRD12" s="777"/>
      <c r="DRE12" s="778"/>
      <c r="DRF12" s="779"/>
      <c r="DRG12" s="780"/>
      <c r="DRH12" s="781"/>
      <c r="DRI12" s="782"/>
      <c r="DRJ12" s="782"/>
      <c r="DRK12" s="777"/>
      <c r="DRL12" s="778"/>
      <c r="DRM12" s="779"/>
      <c r="DRN12" s="780"/>
      <c r="DRO12" s="781"/>
      <c r="DRP12" s="782"/>
      <c r="DRQ12" s="782"/>
      <c r="DRR12" s="777"/>
      <c r="DRS12" s="778"/>
      <c r="DRT12" s="779"/>
      <c r="DRU12" s="780"/>
      <c r="DRV12" s="781"/>
      <c r="DRW12" s="782"/>
      <c r="DRX12" s="782"/>
      <c r="DRY12" s="777"/>
      <c r="DRZ12" s="778"/>
      <c r="DSA12" s="779"/>
      <c r="DSB12" s="780"/>
      <c r="DSC12" s="781"/>
      <c r="DSD12" s="782"/>
      <c r="DSE12" s="782"/>
      <c r="DSF12" s="777"/>
      <c r="DSG12" s="778"/>
      <c r="DSH12" s="779"/>
      <c r="DSI12" s="780"/>
      <c r="DSJ12" s="781"/>
      <c r="DSK12" s="782"/>
      <c r="DSL12" s="782"/>
      <c r="DSM12" s="777"/>
      <c r="DSN12" s="778"/>
      <c r="DSO12" s="779"/>
      <c r="DSP12" s="780"/>
      <c r="DSQ12" s="781"/>
      <c r="DSR12" s="782"/>
      <c r="DSS12" s="782"/>
      <c r="DST12" s="777"/>
      <c r="DSU12" s="778"/>
      <c r="DSV12" s="779"/>
      <c r="DSW12" s="780"/>
      <c r="DSX12" s="781"/>
      <c r="DSY12" s="782"/>
      <c r="DSZ12" s="782"/>
      <c r="DTA12" s="777"/>
      <c r="DTB12" s="778"/>
      <c r="DTC12" s="779"/>
      <c r="DTD12" s="780"/>
      <c r="DTE12" s="781"/>
      <c r="DTF12" s="782"/>
      <c r="DTG12" s="782"/>
      <c r="DTH12" s="777"/>
      <c r="DTI12" s="778"/>
      <c r="DTJ12" s="779"/>
      <c r="DTK12" s="780"/>
      <c r="DTL12" s="781"/>
      <c r="DTM12" s="782"/>
      <c r="DTN12" s="782"/>
      <c r="DTO12" s="777"/>
      <c r="DTP12" s="778"/>
      <c r="DTQ12" s="779"/>
      <c r="DTR12" s="780"/>
      <c r="DTS12" s="781"/>
      <c r="DTT12" s="782"/>
      <c r="DTU12" s="782"/>
      <c r="DTV12" s="777"/>
      <c r="DTW12" s="778"/>
      <c r="DTX12" s="779"/>
      <c r="DTY12" s="780"/>
      <c r="DTZ12" s="781"/>
      <c r="DUA12" s="782"/>
      <c r="DUB12" s="782"/>
      <c r="DUC12" s="777"/>
      <c r="DUD12" s="778"/>
      <c r="DUE12" s="779"/>
      <c r="DUF12" s="780"/>
      <c r="DUG12" s="781"/>
      <c r="DUH12" s="782"/>
      <c r="DUI12" s="782"/>
      <c r="DUJ12" s="777"/>
      <c r="DUK12" s="778"/>
      <c r="DUL12" s="779"/>
      <c r="DUM12" s="780"/>
      <c r="DUN12" s="781"/>
      <c r="DUO12" s="782"/>
      <c r="DUP12" s="782"/>
      <c r="DUQ12" s="777"/>
      <c r="DUR12" s="778"/>
      <c r="DUS12" s="779"/>
      <c r="DUT12" s="780"/>
      <c r="DUU12" s="781"/>
      <c r="DUV12" s="782"/>
      <c r="DUW12" s="782"/>
      <c r="DUX12" s="777"/>
      <c r="DUY12" s="778"/>
      <c r="DUZ12" s="779"/>
      <c r="DVA12" s="780"/>
      <c r="DVB12" s="781"/>
      <c r="DVC12" s="782"/>
      <c r="DVD12" s="782"/>
      <c r="DVE12" s="777"/>
      <c r="DVF12" s="778"/>
      <c r="DVG12" s="779"/>
      <c r="DVH12" s="780"/>
      <c r="DVI12" s="781"/>
      <c r="DVJ12" s="782"/>
      <c r="DVK12" s="782"/>
      <c r="DVL12" s="777"/>
      <c r="DVM12" s="778"/>
      <c r="DVN12" s="779"/>
      <c r="DVO12" s="780"/>
      <c r="DVP12" s="781"/>
      <c r="DVQ12" s="782"/>
      <c r="DVR12" s="782"/>
      <c r="DVS12" s="777"/>
      <c r="DVT12" s="778"/>
      <c r="DVU12" s="779"/>
      <c r="DVV12" s="780"/>
      <c r="DVW12" s="781"/>
      <c r="DVX12" s="782"/>
      <c r="DVY12" s="782"/>
      <c r="DVZ12" s="777"/>
      <c r="DWA12" s="778"/>
      <c r="DWB12" s="779"/>
      <c r="DWC12" s="780"/>
      <c r="DWD12" s="781"/>
      <c r="DWE12" s="782"/>
      <c r="DWF12" s="782"/>
      <c r="DWG12" s="777"/>
      <c r="DWH12" s="778"/>
      <c r="DWI12" s="779"/>
      <c r="DWJ12" s="780"/>
      <c r="DWK12" s="781"/>
      <c r="DWL12" s="782"/>
      <c r="DWM12" s="782"/>
      <c r="DWN12" s="777"/>
      <c r="DWO12" s="778"/>
      <c r="DWP12" s="779"/>
      <c r="DWQ12" s="780"/>
      <c r="DWR12" s="781"/>
      <c r="DWS12" s="782"/>
      <c r="DWT12" s="782"/>
      <c r="DWU12" s="777"/>
      <c r="DWV12" s="778"/>
      <c r="DWW12" s="779"/>
      <c r="DWX12" s="780"/>
      <c r="DWY12" s="781"/>
      <c r="DWZ12" s="782"/>
      <c r="DXA12" s="782"/>
      <c r="DXB12" s="777"/>
      <c r="DXC12" s="778"/>
      <c r="DXD12" s="779"/>
      <c r="DXE12" s="780"/>
      <c r="DXF12" s="781"/>
      <c r="DXG12" s="782"/>
      <c r="DXH12" s="782"/>
      <c r="DXI12" s="777"/>
      <c r="DXJ12" s="778"/>
      <c r="DXK12" s="779"/>
      <c r="DXL12" s="780"/>
      <c r="DXM12" s="781"/>
      <c r="DXN12" s="782"/>
      <c r="DXO12" s="782"/>
      <c r="DXP12" s="777"/>
      <c r="DXQ12" s="778"/>
      <c r="DXR12" s="779"/>
      <c r="DXS12" s="780"/>
      <c r="DXT12" s="781"/>
      <c r="DXU12" s="782"/>
      <c r="DXV12" s="782"/>
      <c r="DXW12" s="777"/>
      <c r="DXX12" s="778"/>
      <c r="DXY12" s="779"/>
      <c r="DXZ12" s="780"/>
      <c r="DYA12" s="781"/>
      <c r="DYB12" s="782"/>
      <c r="DYC12" s="782"/>
      <c r="DYD12" s="777"/>
      <c r="DYE12" s="778"/>
      <c r="DYF12" s="779"/>
      <c r="DYG12" s="780"/>
      <c r="DYH12" s="781"/>
      <c r="DYI12" s="782"/>
      <c r="DYJ12" s="782"/>
      <c r="DYK12" s="777"/>
      <c r="DYL12" s="778"/>
      <c r="DYM12" s="779"/>
      <c r="DYN12" s="780"/>
      <c r="DYO12" s="781"/>
      <c r="DYP12" s="782"/>
      <c r="DYQ12" s="782"/>
      <c r="DYR12" s="777"/>
      <c r="DYS12" s="778"/>
      <c r="DYT12" s="779"/>
      <c r="DYU12" s="780"/>
      <c r="DYV12" s="781"/>
      <c r="DYW12" s="782"/>
      <c r="DYX12" s="782"/>
      <c r="DYY12" s="777"/>
      <c r="DYZ12" s="778"/>
      <c r="DZA12" s="779"/>
      <c r="DZB12" s="780"/>
      <c r="DZC12" s="781"/>
      <c r="DZD12" s="782"/>
      <c r="DZE12" s="782"/>
      <c r="DZF12" s="777"/>
      <c r="DZG12" s="778"/>
      <c r="DZH12" s="779"/>
      <c r="DZI12" s="780"/>
      <c r="DZJ12" s="781"/>
      <c r="DZK12" s="782"/>
      <c r="DZL12" s="782"/>
      <c r="DZM12" s="777"/>
      <c r="DZN12" s="778"/>
      <c r="DZO12" s="779"/>
      <c r="DZP12" s="780"/>
      <c r="DZQ12" s="781"/>
      <c r="DZR12" s="782"/>
      <c r="DZS12" s="782"/>
      <c r="DZT12" s="777"/>
      <c r="DZU12" s="778"/>
      <c r="DZV12" s="779"/>
      <c r="DZW12" s="780"/>
      <c r="DZX12" s="781"/>
      <c r="DZY12" s="782"/>
      <c r="DZZ12" s="782"/>
      <c r="EAA12" s="777"/>
      <c r="EAB12" s="778"/>
      <c r="EAC12" s="779"/>
      <c r="EAD12" s="780"/>
      <c r="EAE12" s="781"/>
      <c r="EAF12" s="782"/>
      <c r="EAG12" s="782"/>
      <c r="EAH12" s="777"/>
      <c r="EAI12" s="778"/>
      <c r="EAJ12" s="779"/>
      <c r="EAK12" s="780"/>
      <c r="EAL12" s="781"/>
      <c r="EAM12" s="782"/>
      <c r="EAN12" s="782"/>
      <c r="EAO12" s="777"/>
      <c r="EAP12" s="778"/>
      <c r="EAQ12" s="779"/>
      <c r="EAR12" s="780"/>
      <c r="EAS12" s="781"/>
      <c r="EAT12" s="782"/>
      <c r="EAU12" s="782"/>
      <c r="EAV12" s="777"/>
      <c r="EAW12" s="778"/>
      <c r="EAX12" s="779"/>
      <c r="EAY12" s="780"/>
      <c r="EAZ12" s="781"/>
      <c r="EBA12" s="782"/>
      <c r="EBB12" s="782"/>
      <c r="EBC12" s="777"/>
      <c r="EBD12" s="778"/>
      <c r="EBE12" s="779"/>
      <c r="EBF12" s="780"/>
      <c r="EBG12" s="781"/>
      <c r="EBH12" s="782"/>
      <c r="EBI12" s="782"/>
      <c r="EBJ12" s="777"/>
      <c r="EBK12" s="778"/>
      <c r="EBL12" s="779"/>
      <c r="EBM12" s="780"/>
      <c r="EBN12" s="781"/>
      <c r="EBO12" s="782"/>
      <c r="EBP12" s="782"/>
      <c r="EBQ12" s="777"/>
      <c r="EBR12" s="778"/>
      <c r="EBS12" s="779"/>
      <c r="EBT12" s="780"/>
      <c r="EBU12" s="781"/>
      <c r="EBV12" s="782"/>
      <c r="EBW12" s="782"/>
      <c r="EBX12" s="777"/>
      <c r="EBY12" s="778"/>
      <c r="EBZ12" s="779"/>
      <c r="ECA12" s="780"/>
      <c r="ECB12" s="781"/>
      <c r="ECC12" s="782"/>
      <c r="ECD12" s="782"/>
      <c r="ECE12" s="777"/>
      <c r="ECF12" s="778"/>
      <c r="ECG12" s="779"/>
      <c r="ECH12" s="780"/>
      <c r="ECI12" s="781"/>
      <c r="ECJ12" s="782"/>
      <c r="ECK12" s="782"/>
      <c r="ECL12" s="777"/>
      <c r="ECM12" s="778"/>
      <c r="ECN12" s="779"/>
      <c r="ECO12" s="780"/>
      <c r="ECP12" s="781"/>
      <c r="ECQ12" s="782"/>
      <c r="ECR12" s="782"/>
      <c r="ECS12" s="777"/>
      <c r="ECT12" s="778"/>
      <c r="ECU12" s="779"/>
      <c r="ECV12" s="780"/>
      <c r="ECW12" s="781"/>
      <c r="ECX12" s="782"/>
      <c r="ECY12" s="782"/>
      <c r="ECZ12" s="777"/>
      <c r="EDA12" s="778"/>
      <c r="EDB12" s="779"/>
      <c r="EDC12" s="780"/>
      <c r="EDD12" s="781"/>
      <c r="EDE12" s="782"/>
      <c r="EDF12" s="782"/>
      <c r="EDG12" s="777"/>
      <c r="EDH12" s="778"/>
      <c r="EDI12" s="779"/>
      <c r="EDJ12" s="780"/>
      <c r="EDK12" s="781"/>
      <c r="EDL12" s="782"/>
      <c r="EDM12" s="782"/>
      <c r="EDN12" s="777"/>
      <c r="EDO12" s="778"/>
      <c r="EDP12" s="779"/>
      <c r="EDQ12" s="780"/>
      <c r="EDR12" s="781"/>
      <c r="EDS12" s="782"/>
      <c r="EDT12" s="782"/>
      <c r="EDU12" s="777"/>
      <c r="EDV12" s="778"/>
      <c r="EDW12" s="779"/>
      <c r="EDX12" s="780"/>
      <c r="EDY12" s="781"/>
      <c r="EDZ12" s="782"/>
      <c r="EEA12" s="782"/>
      <c r="EEB12" s="777"/>
      <c r="EEC12" s="778"/>
      <c r="EED12" s="779"/>
      <c r="EEE12" s="780"/>
      <c r="EEF12" s="781"/>
      <c r="EEG12" s="782"/>
      <c r="EEH12" s="782"/>
      <c r="EEI12" s="777"/>
      <c r="EEJ12" s="778"/>
      <c r="EEK12" s="779"/>
      <c r="EEL12" s="780"/>
      <c r="EEM12" s="781"/>
      <c r="EEN12" s="782"/>
      <c r="EEO12" s="782"/>
      <c r="EEP12" s="777"/>
      <c r="EEQ12" s="778"/>
      <c r="EER12" s="779"/>
      <c r="EES12" s="780"/>
      <c r="EET12" s="781"/>
      <c r="EEU12" s="782"/>
      <c r="EEV12" s="782"/>
      <c r="EEW12" s="777"/>
      <c r="EEX12" s="778"/>
      <c r="EEY12" s="779"/>
      <c r="EEZ12" s="780"/>
      <c r="EFA12" s="781"/>
      <c r="EFB12" s="782"/>
      <c r="EFC12" s="782"/>
      <c r="EFD12" s="777"/>
      <c r="EFE12" s="778"/>
      <c r="EFF12" s="779"/>
      <c r="EFG12" s="780"/>
      <c r="EFH12" s="781"/>
      <c r="EFI12" s="782"/>
      <c r="EFJ12" s="782"/>
      <c r="EFK12" s="777"/>
      <c r="EFL12" s="778"/>
      <c r="EFM12" s="779"/>
      <c r="EFN12" s="780"/>
      <c r="EFO12" s="781"/>
      <c r="EFP12" s="782"/>
      <c r="EFQ12" s="782"/>
      <c r="EFR12" s="777"/>
      <c r="EFS12" s="778"/>
      <c r="EFT12" s="779"/>
      <c r="EFU12" s="780"/>
      <c r="EFV12" s="781"/>
      <c r="EFW12" s="782"/>
      <c r="EFX12" s="782"/>
      <c r="EFY12" s="777"/>
      <c r="EFZ12" s="778"/>
      <c r="EGA12" s="779"/>
      <c r="EGB12" s="780"/>
      <c r="EGC12" s="781"/>
      <c r="EGD12" s="782"/>
      <c r="EGE12" s="782"/>
      <c r="EGF12" s="777"/>
      <c r="EGG12" s="778"/>
      <c r="EGH12" s="779"/>
      <c r="EGI12" s="780"/>
      <c r="EGJ12" s="781"/>
      <c r="EGK12" s="782"/>
      <c r="EGL12" s="782"/>
      <c r="EGM12" s="777"/>
      <c r="EGN12" s="778"/>
      <c r="EGO12" s="779"/>
      <c r="EGP12" s="780"/>
      <c r="EGQ12" s="781"/>
      <c r="EGR12" s="782"/>
      <c r="EGS12" s="782"/>
      <c r="EGT12" s="777"/>
      <c r="EGU12" s="778"/>
      <c r="EGV12" s="779"/>
      <c r="EGW12" s="780"/>
      <c r="EGX12" s="781"/>
      <c r="EGY12" s="782"/>
      <c r="EGZ12" s="782"/>
      <c r="EHA12" s="777"/>
      <c r="EHB12" s="778"/>
      <c r="EHC12" s="779"/>
      <c r="EHD12" s="780"/>
      <c r="EHE12" s="781"/>
      <c r="EHF12" s="782"/>
      <c r="EHG12" s="782"/>
      <c r="EHH12" s="777"/>
      <c r="EHI12" s="778"/>
      <c r="EHJ12" s="779"/>
      <c r="EHK12" s="780"/>
      <c r="EHL12" s="781"/>
      <c r="EHM12" s="782"/>
      <c r="EHN12" s="782"/>
      <c r="EHO12" s="777"/>
      <c r="EHP12" s="778"/>
      <c r="EHQ12" s="779"/>
      <c r="EHR12" s="780"/>
      <c r="EHS12" s="781"/>
      <c r="EHT12" s="782"/>
      <c r="EHU12" s="782"/>
      <c r="EHV12" s="777"/>
      <c r="EHW12" s="778"/>
      <c r="EHX12" s="779"/>
      <c r="EHY12" s="780"/>
      <c r="EHZ12" s="781"/>
      <c r="EIA12" s="782"/>
      <c r="EIB12" s="782"/>
      <c r="EIC12" s="777"/>
      <c r="EID12" s="778"/>
      <c r="EIE12" s="779"/>
      <c r="EIF12" s="780"/>
      <c r="EIG12" s="781"/>
      <c r="EIH12" s="782"/>
      <c r="EII12" s="782"/>
      <c r="EIJ12" s="777"/>
      <c r="EIK12" s="778"/>
      <c r="EIL12" s="779"/>
      <c r="EIM12" s="780"/>
      <c r="EIN12" s="781"/>
      <c r="EIO12" s="782"/>
      <c r="EIP12" s="782"/>
      <c r="EIQ12" s="777"/>
      <c r="EIR12" s="778"/>
      <c r="EIS12" s="779"/>
      <c r="EIT12" s="780"/>
      <c r="EIU12" s="781"/>
      <c r="EIV12" s="782"/>
      <c r="EIW12" s="782"/>
      <c r="EIX12" s="777"/>
      <c r="EIY12" s="778"/>
      <c r="EIZ12" s="779"/>
      <c r="EJA12" s="780"/>
      <c r="EJB12" s="781"/>
      <c r="EJC12" s="782"/>
      <c r="EJD12" s="782"/>
      <c r="EJE12" s="777"/>
      <c r="EJF12" s="778"/>
      <c r="EJG12" s="779"/>
      <c r="EJH12" s="780"/>
      <c r="EJI12" s="781"/>
      <c r="EJJ12" s="782"/>
      <c r="EJK12" s="782"/>
      <c r="EJL12" s="777"/>
      <c r="EJM12" s="778"/>
      <c r="EJN12" s="779"/>
      <c r="EJO12" s="780"/>
      <c r="EJP12" s="781"/>
      <c r="EJQ12" s="782"/>
      <c r="EJR12" s="782"/>
      <c r="EJS12" s="777"/>
      <c r="EJT12" s="778"/>
      <c r="EJU12" s="779"/>
      <c r="EJV12" s="780"/>
      <c r="EJW12" s="781"/>
      <c r="EJX12" s="782"/>
      <c r="EJY12" s="782"/>
      <c r="EJZ12" s="777"/>
      <c r="EKA12" s="778"/>
      <c r="EKB12" s="779"/>
      <c r="EKC12" s="780"/>
      <c r="EKD12" s="781"/>
      <c r="EKE12" s="782"/>
      <c r="EKF12" s="782"/>
      <c r="EKG12" s="777"/>
      <c r="EKH12" s="778"/>
      <c r="EKI12" s="779"/>
      <c r="EKJ12" s="780"/>
      <c r="EKK12" s="781"/>
      <c r="EKL12" s="782"/>
      <c r="EKM12" s="782"/>
      <c r="EKN12" s="777"/>
      <c r="EKO12" s="778"/>
      <c r="EKP12" s="779"/>
      <c r="EKQ12" s="780"/>
      <c r="EKR12" s="781"/>
      <c r="EKS12" s="782"/>
      <c r="EKT12" s="782"/>
      <c r="EKU12" s="777"/>
      <c r="EKV12" s="778"/>
      <c r="EKW12" s="779"/>
      <c r="EKX12" s="780"/>
      <c r="EKY12" s="781"/>
      <c r="EKZ12" s="782"/>
      <c r="ELA12" s="782"/>
      <c r="ELB12" s="777"/>
      <c r="ELC12" s="778"/>
      <c r="ELD12" s="779"/>
      <c r="ELE12" s="780"/>
      <c r="ELF12" s="781"/>
      <c r="ELG12" s="782"/>
      <c r="ELH12" s="782"/>
      <c r="ELI12" s="777"/>
      <c r="ELJ12" s="778"/>
      <c r="ELK12" s="779"/>
      <c r="ELL12" s="780"/>
      <c r="ELM12" s="781"/>
      <c r="ELN12" s="782"/>
      <c r="ELO12" s="782"/>
      <c r="ELP12" s="777"/>
      <c r="ELQ12" s="778"/>
      <c r="ELR12" s="779"/>
      <c r="ELS12" s="780"/>
      <c r="ELT12" s="781"/>
      <c r="ELU12" s="782"/>
      <c r="ELV12" s="782"/>
      <c r="ELW12" s="777"/>
      <c r="ELX12" s="778"/>
      <c r="ELY12" s="779"/>
      <c r="ELZ12" s="780"/>
      <c r="EMA12" s="781"/>
      <c r="EMB12" s="782"/>
      <c r="EMC12" s="782"/>
      <c r="EMD12" s="777"/>
      <c r="EME12" s="778"/>
      <c r="EMF12" s="779"/>
      <c r="EMG12" s="780"/>
      <c r="EMH12" s="781"/>
      <c r="EMI12" s="782"/>
      <c r="EMJ12" s="782"/>
      <c r="EMK12" s="777"/>
      <c r="EML12" s="778"/>
      <c r="EMM12" s="779"/>
      <c r="EMN12" s="780"/>
      <c r="EMO12" s="781"/>
      <c r="EMP12" s="782"/>
      <c r="EMQ12" s="782"/>
      <c r="EMR12" s="777"/>
      <c r="EMS12" s="778"/>
      <c r="EMT12" s="779"/>
      <c r="EMU12" s="780"/>
      <c r="EMV12" s="781"/>
      <c r="EMW12" s="782"/>
      <c r="EMX12" s="782"/>
      <c r="EMY12" s="777"/>
      <c r="EMZ12" s="778"/>
      <c r="ENA12" s="779"/>
      <c r="ENB12" s="780"/>
      <c r="ENC12" s="781"/>
      <c r="END12" s="782"/>
      <c r="ENE12" s="782"/>
      <c r="ENF12" s="777"/>
      <c r="ENG12" s="778"/>
      <c r="ENH12" s="779"/>
      <c r="ENI12" s="780"/>
      <c r="ENJ12" s="781"/>
      <c r="ENK12" s="782"/>
      <c r="ENL12" s="782"/>
      <c r="ENM12" s="777"/>
      <c r="ENN12" s="778"/>
      <c r="ENO12" s="779"/>
      <c r="ENP12" s="780"/>
      <c r="ENQ12" s="781"/>
      <c r="ENR12" s="782"/>
      <c r="ENS12" s="782"/>
      <c r="ENT12" s="777"/>
      <c r="ENU12" s="778"/>
      <c r="ENV12" s="779"/>
      <c r="ENW12" s="780"/>
      <c r="ENX12" s="781"/>
      <c r="ENY12" s="782"/>
      <c r="ENZ12" s="782"/>
      <c r="EOA12" s="777"/>
      <c r="EOB12" s="778"/>
      <c r="EOC12" s="779"/>
      <c r="EOD12" s="780"/>
      <c r="EOE12" s="781"/>
      <c r="EOF12" s="782"/>
      <c r="EOG12" s="782"/>
      <c r="EOH12" s="777"/>
      <c r="EOI12" s="778"/>
      <c r="EOJ12" s="779"/>
      <c r="EOK12" s="780"/>
      <c r="EOL12" s="781"/>
      <c r="EOM12" s="782"/>
      <c r="EON12" s="782"/>
      <c r="EOO12" s="777"/>
      <c r="EOP12" s="778"/>
      <c r="EOQ12" s="779"/>
      <c r="EOR12" s="780"/>
      <c r="EOS12" s="781"/>
      <c r="EOT12" s="782"/>
      <c r="EOU12" s="782"/>
      <c r="EOV12" s="777"/>
      <c r="EOW12" s="778"/>
      <c r="EOX12" s="779"/>
      <c r="EOY12" s="780"/>
      <c r="EOZ12" s="781"/>
      <c r="EPA12" s="782"/>
      <c r="EPB12" s="782"/>
      <c r="EPC12" s="777"/>
      <c r="EPD12" s="778"/>
      <c r="EPE12" s="779"/>
      <c r="EPF12" s="780"/>
      <c r="EPG12" s="781"/>
      <c r="EPH12" s="782"/>
      <c r="EPI12" s="782"/>
      <c r="EPJ12" s="777"/>
      <c r="EPK12" s="778"/>
      <c r="EPL12" s="779"/>
      <c r="EPM12" s="780"/>
      <c r="EPN12" s="781"/>
      <c r="EPO12" s="782"/>
      <c r="EPP12" s="782"/>
      <c r="EPQ12" s="777"/>
      <c r="EPR12" s="778"/>
      <c r="EPS12" s="779"/>
      <c r="EPT12" s="780"/>
      <c r="EPU12" s="781"/>
      <c r="EPV12" s="782"/>
      <c r="EPW12" s="782"/>
      <c r="EPX12" s="777"/>
      <c r="EPY12" s="778"/>
      <c r="EPZ12" s="779"/>
      <c r="EQA12" s="780"/>
      <c r="EQB12" s="781"/>
      <c r="EQC12" s="782"/>
      <c r="EQD12" s="782"/>
      <c r="EQE12" s="777"/>
      <c r="EQF12" s="778"/>
      <c r="EQG12" s="779"/>
      <c r="EQH12" s="780"/>
      <c r="EQI12" s="781"/>
      <c r="EQJ12" s="782"/>
      <c r="EQK12" s="782"/>
      <c r="EQL12" s="777"/>
      <c r="EQM12" s="778"/>
      <c r="EQN12" s="779"/>
      <c r="EQO12" s="780"/>
      <c r="EQP12" s="781"/>
      <c r="EQQ12" s="782"/>
      <c r="EQR12" s="782"/>
      <c r="EQS12" s="777"/>
      <c r="EQT12" s="778"/>
      <c r="EQU12" s="779"/>
      <c r="EQV12" s="780"/>
      <c r="EQW12" s="781"/>
      <c r="EQX12" s="782"/>
      <c r="EQY12" s="782"/>
      <c r="EQZ12" s="777"/>
      <c r="ERA12" s="778"/>
      <c r="ERB12" s="779"/>
      <c r="ERC12" s="780"/>
      <c r="ERD12" s="781"/>
      <c r="ERE12" s="782"/>
      <c r="ERF12" s="782"/>
      <c r="ERG12" s="777"/>
      <c r="ERH12" s="778"/>
      <c r="ERI12" s="779"/>
      <c r="ERJ12" s="780"/>
      <c r="ERK12" s="781"/>
      <c r="ERL12" s="782"/>
      <c r="ERM12" s="782"/>
      <c r="ERN12" s="777"/>
      <c r="ERO12" s="778"/>
      <c r="ERP12" s="779"/>
      <c r="ERQ12" s="780"/>
      <c r="ERR12" s="781"/>
      <c r="ERS12" s="782"/>
      <c r="ERT12" s="782"/>
      <c r="ERU12" s="777"/>
      <c r="ERV12" s="778"/>
      <c r="ERW12" s="779"/>
      <c r="ERX12" s="780"/>
      <c r="ERY12" s="781"/>
      <c r="ERZ12" s="782"/>
      <c r="ESA12" s="782"/>
      <c r="ESB12" s="777"/>
      <c r="ESC12" s="778"/>
      <c r="ESD12" s="779"/>
      <c r="ESE12" s="780"/>
      <c r="ESF12" s="781"/>
      <c r="ESG12" s="782"/>
      <c r="ESH12" s="782"/>
      <c r="ESI12" s="777"/>
      <c r="ESJ12" s="778"/>
      <c r="ESK12" s="779"/>
      <c r="ESL12" s="780"/>
      <c r="ESM12" s="781"/>
      <c r="ESN12" s="782"/>
      <c r="ESO12" s="782"/>
      <c r="ESP12" s="777"/>
      <c r="ESQ12" s="778"/>
      <c r="ESR12" s="779"/>
      <c r="ESS12" s="780"/>
      <c r="EST12" s="781"/>
      <c r="ESU12" s="782"/>
      <c r="ESV12" s="782"/>
      <c r="ESW12" s="777"/>
      <c r="ESX12" s="778"/>
      <c r="ESY12" s="779"/>
      <c r="ESZ12" s="780"/>
      <c r="ETA12" s="781"/>
      <c r="ETB12" s="782"/>
      <c r="ETC12" s="782"/>
      <c r="ETD12" s="777"/>
      <c r="ETE12" s="778"/>
      <c r="ETF12" s="779"/>
      <c r="ETG12" s="780"/>
      <c r="ETH12" s="781"/>
      <c r="ETI12" s="782"/>
      <c r="ETJ12" s="782"/>
      <c r="ETK12" s="777"/>
      <c r="ETL12" s="778"/>
      <c r="ETM12" s="779"/>
      <c r="ETN12" s="780"/>
      <c r="ETO12" s="781"/>
      <c r="ETP12" s="782"/>
      <c r="ETQ12" s="782"/>
      <c r="ETR12" s="777"/>
      <c r="ETS12" s="778"/>
      <c r="ETT12" s="779"/>
      <c r="ETU12" s="780"/>
      <c r="ETV12" s="781"/>
      <c r="ETW12" s="782"/>
      <c r="ETX12" s="782"/>
      <c r="ETY12" s="777"/>
      <c r="ETZ12" s="778"/>
      <c r="EUA12" s="779"/>
      <c r="EUB12" s="780"/>
      <c r="EUC12" s="781"/>
      <c r="EUD12" s="782"/>
      <c r="EUE12" s="782"/>
      <c r="EUF12" s="777"/>
      <c r="EUG12" s="778"/>
      <c r="EUH12" s="779"/>
      <c r="EUI12" s="780"/>
      <c r="EUJ12" s="781"/>
      <c r="EUK12" s="782"/>
      <c r="EUL12" s="782"/>
      <c r="EUM12" s="777"/>
      <c r="EUN12" s="778"/>
      <c r="EUO12" s="779"/>
      <c r="EUP12" s="780"/>
      <c r="EUQ12" s="781"/>
      <c r="EUR12" s="782"/>
      <c r="EUS12" s="782"/>
      <c r="EUT12" s="777"/>
      <c r="EUU12" s="778"/>
      <c r="EUV12" s="779"/>
      <c r="EUW12" s="780"/>
      <c r="EUX12" s="781"/>
      <c r="EUY12" s="782"/>
      <c r="EUZ12" s="782"/>
      <c r="EVA12" s="777"/>
      <c r="EVB12" s="778"/>
      <c r="EVC12" s="779"/>
      <c r="EVD12" s="780"/>
      <c r="EVE12" s="781"/>
      <c r="EVF12" s="782"/>
      <c r="EVG12" s="782"/>
      <c r="EVH12" s="777"/>
      <c r="EVI12" s="778"/>
      <c r="EVJ12" s="779"/>
      <c r="EVK12" s="780"/>
      <c r="EVL12" s="781"/>
      <c r="EVM12" s="782"/>
      <c r="EVN12" s="782"/>
      <c r="EVO12" s="777"/>
      <c r="EVP12" s="778"/>
      <c r="EVQ12" s="779"/>
      <c r="EVR12" s="780"/>
      <c r="EVS12" s="781"/>
      <c r="EVT12" s="782"/>
      <c r="EVU12" s="782"/>
      <c r="EVV12" s="777"/>
      <c r="EVW12" s="778"/>
      <c r="EVX12" s="779"/>
      <c r="EVY12" s="780"/>
      <c r="EVZ12" s="781"/>
      <c r="EWA12" s="782"/>
      <c r="EWB12" s="782"/>
      <c r="EWC12" s="777"/>
      <c r="EWD12" s="778"/>
      <c r="EWE12" s="779"/>
      <c r="EWF12" s="780"/>
      <c r="EWG12" s="781"/>
      <c r="EWH12" s="782"/>
      <c r="EWI12" s="782"/>
      <c r="EWJ12" s="777"/>
      <c r="EWK12" s="778"/>
      <c r="EWL12" s="779"/>
      <c r="EWM12" s="780"/>
      <c r="EWN12" s="781"/>
      <c r="EWO12" s="782"/>
      <c r="EWP12" s="782"/>
      <c r="EWQ12" s="777"/>
      <c r="EWR12" s="778"/>
      <c r="EWS12" s="779"/>
      <c r="EWT12" s="780"/>
      <c r="EWU12" s="781"/>
      <c r="EWV12" s="782"/>
      <c r="EWW12" s="782"/>
      <c r="EWX12" s="777"/>
      <c r="EWY12" s="778"/>
      <c r="EWZ12" s="779"/>
      <c r="EXA12" s="780"/>
      <c r="EXB12" s="781"/>
      <c r="EXC12" s="782"/>
      <c r="EXD12" s="782"/>
      <c r="EXE12" s="777"/>
      <c r="EXF12" s="778"/>
      <c r="EXG12" s="779"/>
      <c r="EXH12" s="780"/>
      <c r="EXI12" s="781"/>
      <c r="EXJ12" s="782"/>
      <c r="EXK12" s="782"/>
      <c r="EXL12" s="777"/>
      <c r="EXM12" s="778"/>
      <c r="EXN12" s="779"/>
      <c r="EXO12" s="780"/>
      <c r="EXP12" s="781"/>
      <c r="EXQ12" s="782"/>
      <c r="EXR12" s="782"/>
      <c r="EXS12" s="777"/>
      <c r="EXT12" s="778"/>
      <c r="EXU12" s="779"/>
      <c r="EXV12" s="780"/>
      <c r="EXW12" s="781"/>
      <c r="EXX12" s="782"/>
      <c r="EXY12" s="782"/>
      <c r="EXZ12" s="777"/>
      <c r="EYA12" s="778"/>
      <c r="EYB12" s="779"/>
      <c r="EYC12" s="780"/>
      <c r="EYD12" s="781"/>
      <c r="EYE12" s="782"/>
      <c r="EYF12" s="782"/>
      <c r="EYG12" s="777"/>
      <c r="EYH12" s="778"/>
      <c r="EYI12" s="779"/>
      <c r="EYJ12" s="780"/>
      <c r="EYK12" s="781"/>
      <c r="EYL12" s="782"/>
      <c r="EYM12" s="782"/>
      <c r="EYN12" s="777"/>
      <c r="EYO12" s="778"/>
      <c r="EYP12" s="779"/>
      <c r="EYQ12" s="780"/>
      <c r="EYR12" s="781"/>
      <c r="EYS12" s="782"/>
      <c r="EYT12" s="782"/>
      <c r="EYU12" s="777"/>
      <c r="EYV12" s="778"/>
      <c r="EYW12" s="779"/>
      <c r="EYX12" s="780"/>
      <c r="EYY12" s="781"/>
      <c r="EYZ12" s="782"/>
      <c r="EZA12" s="782"/>
      <c r="EZB12" s="777"/>
      <c r="EZC12" s="778"/>
      <c r="EZD12" s="779"/>
      <c r="EZE12" s="780"/>
      <c r="EZF12" s="781"/>
      <c r="EZG12" s="782"/>
      <c r="EZH12" s="782"/>
      <c r="EZI12" s="777"/>
      <c r="EZJ12" s="778"/>
      <c r="EZK12" s="779"/>
      <c r="EZL12" s="780"/>
      <c r="EZM12" s="781"/>
      <c r="EZN12" s="782"/>
      <c r="EZO12" s="782"/>
      <c r="EZP12" s="777"/>
      <c r="EZQ12" s="778"/>
      <c r="EZR12" s="779"/>
      <c r="EZS12" s="780"/>
      <c r="EZT12" s="781"/>
      <c r="EZU12" s="782"/>
      <c r="EZV12" s="782"/>
      <c r="EZW12" s="777"/>
      <c r="EZX12" s="778"/>
      <c r="EZY12" s="779"/>
      <c r="EZZ12" s="780"/>
      <c r="FAA12" s="781"/>
      <c r="FAB12" s="782"/>
      <c r="FAC12" s="782"/>
      <c r="FAD12" s="777"/>
      <c r="FAE12" s="778"/>
      <c r="FAF12" s="779"/>
      <c r="FAG12" s="780"/>
      <c r="FAH12" s="781"/>
      <c r="FAI12" s="782"/>
      <c r="FAJ12" s="782"/>
      <c r="FAK12" s="777"/>
      <c r="FAL12" s="778"/>
      <c r="FAM12" s="779"/>
      <c r="FAN12" s="780"/>
      <c r="FAO12" s="781"/>
      <c r="FAP12" s="782"/>
      <c r="FAQ12" s="782"/>
      <c r="FAR12" s="777"/>
      <c r="FAS12" s="778"/>
      <c r="FAT12" s="779"/>
      <c r="FAU12" s="780"/>
      <c r="FAV12" s="781"/>
      <c r="FAW12" s="782"/>
      <c r="FAX12" s="782"/>
      <c r="FAY12" s="777"/>
      <c r="FAZ12" s="778"/>
      <c r="FBA12" s="779"/>
      <c r="FBB12" s="780"/>
      <c r="FBC12" s="781"/>
      <c r="FBD12" s="782"/>
      <c r="FBE12" s="782"/>
      <c r="FBF12" s="777"/>
      <c r="FBG12" s="778"/>
      <c r="FBH12" s="779"/>
      <c r="FBI12" s="780"/>
      <c r="FBJ12" s="781"/>
      <c r="FBK12" s="782"/>
      <c r="FBL12" s="782"/>
      <c r="FBM12" s="777"/>
      <c r="FBN12" s="778"/>
      <c r="FBO12" s="779"/>
      <c r="FBP12" s="780"/>
      <c r="FBQ12" s="781"/>
      <c r="FBR12" s="782"/>
      <c r="FBS12" s="782"/>
      <c r="FBT12" s="777"/>
      <c r="FBU12" s="778"/>
      <c r="FBV12" s="779"/>
      <c r="FBW12" s="780"/>
      <c r="FBX12" s="781"/>
      <c r="FBY12" s="782"/>
      <c r="FBZ12" s="782"/>
      <c r="FCA12" s="777"/>
      <c r="FCB12" s="778"/>
      <c r="FCC12" s="779"/>
      <c r="FCD12" s="780"/>
      <c r="FCE12" s="781"/>
      <c r="FCF12" s="782"/>
      <c r="FCG12" s="782"/>
      <c r="FCH12" s="777"/>
      <c r="FCI12" s="778"/>
      <c r="FCJ12" s="779"/>
      <c r="FCK12" s="780"/>
      <c r="FCL12" s="781"/>
      <c r="FCM12" s="782"/>
      <c r="FCN12" s="782"/>
      <c r="FCO12" s="777"/>
      <c r="FCP12" s="778"/>
      <c r="FCQ12" s="779"/>
      <c r="FCR12" s="780"/>
      <c r="FCS12" s="781"/>
      <c r="FCT12" s="782"/>
      <c r="FCU12" s="782"/>
      <c r="FCV12" s="777"/>
      <c r="FCW12" s="778"/>
      <c r="FCX12" s="779"/>
      <c r="FCY12" s="780"/>
      <c r="FCZ12" s="781"/>
      <c r="FDA12" s="782"/>
      <c r="FDB12" s="782"/>
      <c r="FDC12" s="777"/>
      <c r="FDD12" s="778"/>
      <c r="FDE12" s="779"/>
      <c r="FDF12" s="780"/>
      <c r="FDG12" s="781"/>
      <c r="FDH12" s="782"/>
      <c r="FDI12" s="782"/>
      <c r="FDJ12" s="777"/>
      <c r="FDK12" s="778"/>
      <c r="FDL12" s="779"/>
      <c r="FDM12" s="780"/>
      <c r="FDN12" s="781"/>
      <c r="FDO12" s="782"/>
      <c r="FDP12" s="782"/>
      <c r="FDQ12" s="777"/>
      <c r="FDR12" s="778"/>
      <c r="FDS12" s="779"/>
      <c r="FDT12" s="780"/>
      <c r="FDU12" s="781"/>
      <c r="FDV12" s="782"/>
      <c r="FDW12" s="782"/>
      <c r="FDX12" s="777"/>
      <c r="FDY12" s="778"/>
      <c r="FDZ12" s="779"/>
      <c r="FEA12" s="780"/>
      <c r="FEB12" s="781"/>
      <c r="FEC12" s="782"/>
      <c r="FED12" s="782"/>
      <c r="FEE12" s="777"/>
      <c r="FEF12" s="778"/>
      <c r="FEG12" s="779"/>
      <c r="FEH12" s="780"/>
      <c r="FEI12" s="781"/>
      <c r="FEJ12" s="782"/>
      <c r="FEK12" s="782"/>
      <c r="FEL12" s="777"/>
      <c r="FEM12" s="778"/>
      <c r="FEN12" s="779"/>
      <c r="FEO12" s="780"/>
      <c r="FEP12" s="781"/>
      <c r="FEQ12" s="782"/>
      <c r="FER12" s="782"/>
      <c r="FES12" s="777"/>
      <c r="FET12" s="778"/>
      <c r="FEU12" s="779"/>
      <c r="FEV12" s="780"/>
      <c r="FEW12" s="781"/>
      <c r="FEX12" s="782"/>
      <c r="FEY12" s="782"/>
      <c r="FEZ12" s="777"/>
      <c r="FFA12" s="778"/>
      <c r="FFB12" s="779"/>
      <c r="FFC12" s="780"/>
      <c r="FFD12" s="781"/>
      <c r="FFE12" s="782"/>
      <c r="FFF12" s="782"/>
      <c r="FFG12" s="777"/>
      <c r="FFH12" s="778"/>
      <c r="FFI12" s="779"/>
      <c r="FFJ12" s="780"/>
      <c r="FFK12" s="781"/>
      <c r="FFL12" s="782"/>
      <c r="FFM12" s="782"/>
      <c r="FFN12" s="777"/>
      <c r="FFO12" s="778"/>
      <c r="FFP12" s="779"/>
      <c r="FFQ12" s="780"/>
      <c r="FFR12" s="781"/>
      <c r="FFS12" s="782"/>
      <c r="FFT12" s="782"/>
      <c r="FFU12" s="777"/>
      <c r="FFV12" s="778"/>
      <c r="FFW12" s="779"/>
      <c r="FFX12" s="780"/>
      <c r="FFY12" s="781"/>
      <c r="FFZ12" s="782"/>
      <c r="FGA12" s="782"/>
      <c r="FGB12" s="777"/>
      <c r="FGC12" s="778"/>
      <c r="FGD12" s="779"/>
      <c r="FGE12" s="780"/>
      <c r="FGF12" s="781"/>
      <c r="FGG12" s="782"/>
      <c r="FGH12" s="782"/>
      <c r="FGI12" s="777"/>
      <c r="FGJ12" s="778"/>
      <c r="FGK12" s="779"/>
      <c r="FGL12" s="780"/>
      <c r="FGM12" s="781"/>
      <c r="FGN12" s="782"/>
      <c r="FGO12" s="782"/>
      <c r="FGP12" s="777"/>
      <c r="FGQ12" s="778"/>
      <c r="FGR12" s="779"/>
      <c r="FGS12" s="780"/>
      <c r="FGT12" s="781"/>
      <c r="FGU12" s="782"/>
      <c r="FGV12" s="782"/>
      <c r="FGW12" s="777"/>
      <c r="FGX12" s="778"/>
      <c r="FGY12" s="779"/>
      <c r="FGZ12" s="780"/>
      <c r="FHA12" s="781"/>
      <c r="FHB12" s="782"/>
      <c r="FHC12" s="782"/>
      <c r="FHD12" s="777"/>
      <c r="FHE12" s="778"/>
      <c r="FHF12" s="779"/>
      <c r="FHG12" s="780"/>
      <c r="FHH12" s="781"/>
      <c r="FHI12" s="782"/>
      <c r="FHJ12" s="782"/>
      <c r="FHK12" s="777"/>
      <c r="FHL12" s="778"/>
      <c r="FHM12" s="779"/>
      <c r="FHN12" s="780"/>
      <c r="FHO12" s="781"/>
      <c r="FHP12" s="782"/>
      <c r="FHQ12" s="782"/>
      <c r="FHR12" s="777"/>
      <c r="FHS12" s="778"/>
      <c r="FHT12" s="779"/>
      <c r="FHU12" s="780"/>
      <c r="FHV12" s="781"/>
      <c r="FHW12" s="782"/>
      <c r="FHX12" s="782"/>
      <c r="FHY12" s="777"/>
      <c r="FHZ12" s="778"/>
      <c r="FIA12" s="779"/>
      <c r="FIB12" s="780"/>
      <c r="FIC12" s="781"/>
      <c r="FID12" s="782"/>
      <c r="FIE12" s="782"/>
      <c r="FIF12" s="777"/>
      <c r="FIG12" s="778"/>
      <c r="FIH12" s="779"/>
      <c r="FII12" s="780"/>
      <c r="FIJ12" s="781"/>
      <c r="FIK12" s="782"/>
      <c r="FIL12" s="782"/>
      <c r="FIM12" s="777"/>
      <c r="FIN12" s="778"/>
      <c r="FIO12" s="779"/>
      <c r="FIP12" s="780"/>
      <c r="FIQ12" s="781"/>
      <c r="FIR12" s="782"/>
      <c r="FIS12" s="782"/>
      <c r="FIT12" s="777"/>
      <c r="FIU12" s="778"/>
      <c r="FIV12" s="779"/>
      <c r="FIW12" s="780"/>
      <c r="FIX12" s="781"/>
      <c r="FIY12" s="782"/>
      <c r="FIZ12" s="782"/>
      <c r="FJA12" s="777"/>
      <c r="FJB12" s="778"/>
      <c r="FJC12" s="779"/>
      <c r="FJD12" s="780"/>
      <c r="FJE12" s="781"/>
      <c r="FJF12" s="782"/>
      <c r="FJG12" s="782"/>
      <c r="FJH12" s="777"/>
      <c r="FJI12" s="778"/>
      <c r="FJJ12" s="779"/>
      <c r="FJK12" s="780"/>
      <c r="FJL12" s="781"/>
      <c r="FJM12" s="782"/>
      <c r="FJN12" s="782"/>
      <c r="FJO12" s="777"/>
      <c r="FJP12" s="778"/>
      <c r="FJQ12" s="779"/>
      <c r="FJR12" s="780"/>
      <c r="FJS12" s="781"/>
      <c r="FJT12" s="782"/>
      <c r="FJU12" s="782"/>
      <c r="FJV12" s="777"/>
      <c r="FJW12" s="778"/>
      <c r="FJX12" s="779"/>
      <c r="FJY12" s="780"/>
      <c r="FJZ12" s="781"/>
      <c r="FKA12" s="782"/>
      <c r="FKB12" s="782"/>
      <c r="FKC12" s="777"/>
      <c r="FKD12" s="778"/>
      <c r="FKE12" s="779"/>
      <c r="FKF12" s="780"/>
      <c r="FKG12" s="781"/>
      <c r="FKH12" s="782"/>
      <c r="FKI12" s="782"/>
      <c r="FKJ12" s="777"/>
      <c r="FKK12" s="778"/>
      <c r="FKL12" s="779"/>
      <c r="FKM12" s="780"/>
      <c r="FKN12" s="781"/>
      <c r="FKO12" s="782"/>
      <c r="FKP12" s="782"/>
      <c r="FKQ12" s="777"/>
      <c r="FKR12" s="778"/>
      <c r="FKS12" s="779"/>
      <c r="FKT12" s="780"/>
      <c r="FKU12" s="781"/>
      <c r="FKV12" s="782"/>
      <c r="FKW12" s="782"/>
      <c r="FKX12" s="777"/>
      <c r="FKY12" s="778"/>
      <c r="FKZ12" s="779"/>
      <c r="FLA12" s="780"/>
      <c r="FLB12" s="781"/>
      <c r="FLC12" s="782"/>
      <c r="FLD12" s="782"/>
      <c r="FLE12" s="777"/>
      <c r="FLF12" s="778"/>
      <c r="FLG12" s="779"/>
      <c r="FLH12" s="780"/>
      <c r="FLI12" s="781"/>
      <c r="FLJ12" s="782"/>
      <c r="FLK12" s="782"/>
      <c r="FLL12" s="777"/>
      <c r="FLM12" s="778"/>
      <c r="FLN12" s="779"/>
      <c r="FLO12" s="780"/>
      <c r="FLP12" s="781"/>
      <c r="FLQ12" s="782"/>
      <c r="FLR12" s="782"/>
      <c r="FLS12" s="777"/>
      <c r="FLT12" s="778"/>
      <c r="FLU12" s="779"/>
      <c r="FLV12" s="780"/>
      <c r="FLW12" s="781"/>
      <c r="FLX12" s="782"/>
      <c r="FLY12" s="782"/>
      <c r="FLZ12" s="777"/>
      <c r="FMA12" s="778"/>
      <c r="FMB12" s="779"/>
      <c r="FMC12" s="780"/>
      <c r="FMD12" s="781"/>
      <c r="FME12" s="782"/>
      <c r="FMF12" s="782"/>
      <c r="FMG12" s="777"/>
      <c r="FMH12" s="778"/>
      <c r="FMI12" s="779"/>
      <c r="FMJ12" s="780"/>
      <c r="FMK12" s="781"/>
      <c r="FML12" s="782"/>
      <c r="FMM12" s="782"/>
      <c r="FMN12" s="777"/>
      <c r="FMO12" s="778"/>
      <c r="FMP12" s="779"/>
      <c r="FMQ12" s="780"/>
      <c r="FMR12" s="781"/>
      <c r="FMS12" s="782"/>
      <c r="FMT12" s="782"/>
      <c r="FMU12" s="777"/>
      <c r="FMV12" s="778"/>
      <c r="FMW12" s="779"/>
      <c r="FMX12" s="780"/>
      <c r="FMY12" s="781"/>
      <c r="FMZ12" s="782"/>
      <c r="FNA12" s="782"/>
      <c r="FNB12" s="777"/>
      <c r="FNC12" s="778"/>
      <c r="FND12" s="779"/>
      <c r="FNE12" s="780"/>
      <c r="FNF12" s="781"/>
      <c r="FNG12" s="782"/>
      <c r="FNH12" s="782"/>
      <c r="FNI12" s="777"/>
      <c r="FNJ12" s="778"/>
      <c r="FNK12" s="779"/>
      <c r="FNL12" s="780"/>
      <c r="FNM12" s="781"/>
      <c r="FNN12" s="782"/>
      <c r="FNO12" s="782"/>
      <c r="FNP12" s="777"/>
      <c r="FNQ12" s="778"/>
      <c r="FNR12" s="779"/>
      <c r="FNS12" s="780"/>
      <c r="FNT12" s="781"/>
      <c r="FNU12" s="782"/>
      <c r="FNV12" s="782"/>
      <c r="FNW12" s="777"/>
      <c r="FNX12" s="778"/>
      <c r="FNY12" s="779"/>
      <c r="FNZ12" s="780"/>
      <c r="FOA12" s="781"/>
      <c r="FOB12" s="782"/>
      <c r="FOC12" s="782"/>
      <c r="FOD12" s="777"/>
      <c r="FOE12" s="778"/>
      <c r="FOF12" s="779"/>
      <c r="FOG12" s="780"/>
      <c r="FOH12" s="781"/>
      <c r="FOI12" s="782"/>
      <c r="FOJ12" s="782"/>
      <c r="FOK12" s="777"/>
      <c r="FOL12" s="778"/>
      <c r="FOM12" s="779"/>
      <c r="FON12" s="780"/>
      <c r="FOO12" s="781"/>
      <c r="FOP12" s="782"/>
      <c r="FOQ12" s="782"/>
      <c r="FOR12" s="777"/>
      <c r="FOS12" s="778"/>
      <c r="FOT12" s="779"/>
      <c r="FOU12" s="780"/>
      <c r="FOV12" s="781"/>
      <c r="FOW12" s="782"/>
      <c r="FOX12" s="782"/>
      <c r="FOY12" s="777"/>
      <c r="FOZ12" s="778"/>
      <c r="FPA12" s="779"/>
      <c r="FPB12" s="780"/>
      <c r="FPC12" s="781"/>
      <c r="FPD12" s="782"/>
      <c r="FPE12" s="782"/>
      <c r="FPF12" s="777"/>
      <c r="FPG12" s="778"/>
      <c r="FPH12" s="779"/>
      <c r="FPI12" s="780"/>
      <c r="FPJ12" s="781"/>
      <c r="FPK12" s="782"/>
      <c r="FPL12" s="782"/>
      <c r="FPM12" s="777"/>
      <c r="FPN12" s="778"/>
      <c r="FPO12" s="779"/>
      <c r="FPP12" s="780"/>
      <c r="FPQ12" s="781"/>
      <c r="FPR12" s="782"/>
      <c r="FPS12" s="782"/>
      <c r="FPT12" s="777"/>
      <c r="FPU12" s="778"/>
      <c r="FPV12" s="779"/>
      <c r="FPW12" s="780"/>
      <c r="FPX12" s="781"/>
      <c r="FPY12" s="782"/>
      <c r="FPZ12" s="782"/>
      <c r="FQA12" s="777"/>
      <c r="FQB12" s="778"/>
      <c r="FQC12" s="779"/>
      <c r="FQD12" s="780"/>
      <c r="FQE12" s="781"/>
      <c r="FQF12" s="782"/>
      <c r="FQG12" s="782"/>
      <c r="FQH12" s="777"/>
      <c r="FQI12" s="778"/>
      <c r="FQJ12" s="779"/>
      <c r="FQK12" s="780"/>
      <c r="FQL12" s="781"/>
      <c r="FQM12" s="782"/>
      <c r="FQN12" s="782"/>
      <c r="FQO12" s="777"/>
      <c r="FQP12" s="778"/>
      <c r="FQQ12" s="779"/>
      <c r="FQR12" s="780"/>
      <c r="FQS12" s="781"/>
      <c r="FQT12" s="782"/>
      <c r="FQU12" s="782"/>
      <c r="FQV12" s="777"/>
      <c r="FQW12" s="778"/>
      <c r="FQX12" s="779"/>
      <c r="FQY12" s="780"/>
      <c r="FQZ12" s="781"/>
      <c r="FRA12" s="782"/>
      <c r="FRB12" s="782"/>
      <c r="FRC12" s="777"/>
      <c r="FRD12" s="778"/>
      <c r="FRE12" s="779"/>
      <c r="FRF12" s="780"/>
      <c r="FRG12" s="781"/>
      <c r="FRH12" s="782"/>
      <c r="FRI12" s="782"/>
      <c r="FRJ12" s="777"/>
      <c r="FRK12" s="778"/>
      <c r="FRL12" s="779"/>
      <c r="FRM12" s="780"/>
      <c r="FRN12" s="781"/>
      <c r="FRO12" s="782"/>
      <c r="FRP12" s="782"/>
      <c r="FRQ12" s="777"/>
      <c r="FRR12" s="778"/>
      <c r="FRS12" s="779"/>
      <c r="FRT12" s="780"/>
      <c r="FRU12" s="781"/>
      <c r="FRV12" s="782"/>
      <c r="FRW12" s="782"/>
      <c r="FRX12" s="777"/>
      <c r="FRY12" s="778"/>
      <c r="FRZ12" s="779"/>
      <c r="FSA12" s="780"/>
      <c r="FSB12" s="781"/>
      <c r="FSC12" s="782"/>
      <c r="FSD12" s="782"/>
      <c r="FSE12" s="777"/>
      <c r="FSF12" s="778"/>
      <c r="FSG12" s="779"/>
      <c r="FSH12" s="780"/>
      <c r="FSI12" s="781"/>
      <c r="FSJ12" s="782"/>
      <c r="FSK12" s="782"/>
      <c r="FSL12" s="777"/>
      <c r="FSM12" s="778"/>
      <c r="FSN12" s="779"/>
      <c r="FSO12" s="780"/>
      <c r="FSP12" s="781"/>
      <c r="FSQ12" s="782"/>
      <c r="FSR12" s="782"/>
      <c r="FSS12" s="777"/>
      <c r="FST12" s="778"/>
      <c r="FSU12" s="779"/>
      <c r="FSV12" s="780"/>
      <c r="FSW12" s="781"/>
      <c r="FSX12" s="782"/>
      <c r="FSY12" s="782"/>
      <c r="FSZ12" s="777"/>
      <c r="FTA12" s="778"/>
      <c r="FTB12" s="779"/>
      <c r="FTC12" s="780"/>
      <c r="FTD12" s="781"/>
      <c r="FTE12" s="782"/>
      <c r="FTF12" s="782"/>
      <c r="FTG12" s="777"/>
      <c r="FTH12" s="778"/>
      <c r="FTI12" s="779"/>
      <c r="FTJ12" s="780"/>
      <c r="FTK12" s="781"/>
      <c r="FTL12" s="782"/>
      <c r="FTM12" s="782"/>
      <c r="FTN12" s="777"/>
      <c r="FTO12" s="778"/>
      <c r="FTP12" s="779"/>
      <c r="FTQ12" s="780"/>
      <c r="FTR12" s="781"/>
      <c r="FTS12" s="782"/>
      <c r="FTT12" s="782"/>
      <c r="FTU12" s="777"/>
      <c r="FTV12" s="778"/>
      <c r="FTW12" s="779"/>
      <c r="FTX12" s="780"/>
      <c r="FTY12" s="781"/>
      <c r="FTZ12" s="782"/>
      <c r="FUA12" s="782"/>
      <c r="FUB12" s="777"/>
      <c r="FUC12" s="778"/>
      <c r="FUD12" s="779"/>
      <c r="FUE12" s="780"/>
      <c r="FUF12" s="781"/>
      <c r="FUG12" s="782"/>
      <c r="FUH12" s="782"/>
      <c r="FUI12" s="777"/>
      <c r="FUJ12" s="778"/>
      <c r="FUK12" s="779"/>
      <c r="FUL12" s="780"/>
      <c r="FUM12" s="781"/>
      <c r="FUN12" s="782"/>
      <c r="FUO12" s="782"/>
      <c r="FUP12" s="777"/>
      <c r="FUQ12" s="778"/>
      <c r="FUR12" s="779"/>
      <c r="FUS12" s="780"/>
      <c r="FUT12" s="781"/>
      <c r="FUU12" s="782"/>
      <c r="FUV12" s="782"/>
      <c r="FUW12" s="777"/>
      <c r="FUX12" s="778"/>
      <c r="FUY12" s="779"/>
      <c r="FUZ12" s="780"/>
      <c r="FVA12" s="781"/>
      <c r="FVB12" s="782"/>
      <c r="FVC12" s="782"/>
      <c r="FVD12" s="777"/>
      <c r="FVE12" s="778"/>
      <c r="FVF12" s="779"/>
      <c r="FVG12" s="780"/>
      <c r="FVH12" s="781"/>
      <c r="FVI12" s="782"/>
      <c r="FVJ12" s="782"/>
      <c r="FVK12" s="777"/>
      <c r="FVL12" s="778"/>
      <c r="FVM12" s="779"/>
      <c r="FVN12" s="780"/>
      <c r="FVO12" s="781"/>
      <c r="FVP12" s="782"/>
      <c r="FVQ12" s="782"/>
      <c r="FVR12" s="777"/>
      <c r="FVS12" s="778"/>
      <c r="FVT12" s="779"/>
      <c r="FVU12" s="780"/>
      <c r="FVV12" s="781"/>
      <c r="FVW12" s="782"/>
      <c r="FVX12" s="782"/>
      <c r="FVY12" s="777"/>
      <c r="FVZ12" s="778"/>
      <c r="FWA12" s="779"/>
      <c r="FWB12" s="780"/>
      <c r="FWC12" s="781"/>
      <c r="FWD12" s="782"/>
      <c r="FWE12" s="782"/>
      <c r="FWF12" s="777"/>
      <c r="FWG12" s="778"/>
      <c r="FWH12" s="779"/>
      <c r="FWI12" s="780"/>
      <c r="FWJ12" s="781"/>
      <c r="FWK12" s="782"/>
      <c r="FWL12" s="782"/>
      <c r="FWM12" s="777"/>
      <c r="FWN12" s="778"/>
      <c r="FWO12" s="779"/>
      <c r="FWP12" s="780"/>
      <c r="FWQ12" s="781"/>
      <c r="FWR12" s="782"/>
      <c r="FWS12" s="782"/>
      <c r="FWT12" s="777"/>
      <c r="FWU12" s="778"/>
      <c r="FWV12" s="779"/>
      <c r="FWW12" s="780"/>
      <c r="FWX12" s="781"/>
      <c r="FWY12" s="782"/>
      <c r="FWZ12" s="782"/>
      <c r="FXA12" s="777"/>
      <c r="FXB12" s="778"/>
      <c r="FXC12" s="779"/>
      <c r="FXD12" s="780"/>
      <c r="FXE12" s="781"/>
      <c r="FXF12" s="782"/>
      <c r="FXG12" s="782"/>
      <c r="FXH12" s="777"/>
      <c r="FXI12" s="778"/>
      <c r="FXJ12" s="779"/>
      <c r="FXK12" s="780"/>
      <c r="FXL12" s="781"/>
      <c r="FXM12" s="782"/>
      <c r="FXN12" s="782"/>
      <c r="FXO12" s="777"/>
      <c r="FXP12" s="778"/>
      <c r="FXQ12" s="779"/>
      <c r="FXR12" s="780"/>
      <c r="FXS12" s="781"/>
      <c r="FXT12" s="782"/>
      <c r="FXU12" s="782"/>
      <c r="FXV12" s="777"/>
      <c r="FXW12" s="778"/>
      <c r="FXX12" s="779"/>
      <c r="FXY12" s="780"/>
      <c r="FXZ12" s="781"/>
      <c r="FYA12" s="782"/>
      <c r="FYB12" s="782"/>
      <c r="FYC12" s="777"/>
      <c r="FYD12" s="778"/>
      <c r="FYE12" s="779"/>
      <c r="FYF12" s="780"/>
      <c r="FYG12" s="781"/>
      <c r="FYH12" s="782"/>
      <c r="FYI12" s="782"/>
      <c r="FYJ12" s="777"/>
      <c r="FYK12" s="778"/>
      <c r="FYL12" s="779"/>
      <c r="FYM12" s="780"/>
      <c r="FYN12" s="781"/>
      <c r="FYO12" s="782"/>
      <c r="FYP12" s="782"/>
      <c r="FYQ12" s="777"/>
      <c r="FYR12" s="778"/>
      <c r="FYS12" s="779"/>
      <c r="FYT12" s="780"/>
      <c r="FYU12" s="781"/>
      <c r="FYV12" s="782"/>
      <c r="FYW12" s="782"/>
      <c r="FYX12" s="777"/>
      <c r="FYY12" s="778"/>
      <c r="FYZ12" s="779"/>
      <c r="FZA12" s="780"/>
      <c r="FZB12" s="781"/>
      <c r="FZC12" s="782"/>
      <c r="FZD12" s="782"/>
      <c r="FZE12" s="777"/>
      <c r="FZF12" s="778"/>
      <c r="FZG12" s="779"/>
      <c r="FZH12" s="780"/>
      <c r="FZI12" s="781"/>
      <c r="FZJ12" s="782"/>
      <c r="FZK12" s="782"/>
      <c r="FZL12" s="777"/>
      <c r="FZM12" s="778"/>
      <c r="FZN12" s="779"/>
      <c r="FZO12" s="780"/>
      <c r="FZP12" s="781"/>
      <c r="FZQ12" s="782"/>
      <c r="FZR12" s="782"/>
      <c r="FZS12" s="777"/>
      <c r="FZT12" s="778"/>
      <c r="FZU12" s="779"/>
      <c r="FZV12" s="780"/>
      <c r="FZW12" s="781"/>
      <c r="FZX12" s="782"/>
      <c r="FZY12" s="782"/>
      <c r="FZZ12" s="777"/>
      <c r="GAA12" s="778"/>
      <c r="GAB12" s="779"/>
      <c r="GAC12" s="780"/>
      <c r="GAD12" s="781"/>
      <c r="GAE12" s="782"/>
      <c r="GAF12" s="782"/>
      <c r="GAG12" s="777"/>
      <c r="GAH12" s="778"/>
      <c r="GAI12" s="779"/>
      <c r="GAJ12" s="780"/>
      <c r="GAK12" s="781"/>
      <c r="GAL12" s="782"/>
      <c r="GAM12" s="782"/>
      <c r="GAN12" s="777"/>
      <c r="GAO12" s="778"/>
      <c r="GAP12" s="779"/>
      <c r="GAQ12" s="780"/>
      <c r="GAR12" s="781"/>
      <c r="GAS12" s="782"/>
      <c r="GAT12" s="782"/>
      <c r="GAU12" s="777"/>
      <c r="GAV12" s="778"/>
      <c r="GAW12" s="779"/>
      <c r="GAX12" s="780"/>
      <c r="GAY12" s="781"/>
      <c r="GAZ12" s="782"/>
      <c r="GBA12" s="782"/>
      <c r="GBB12" s="777"/>
      <c r="GBC12" s="778"/>
      <c r="GBD12" s="779"/>
      <c r="GBE12" s="780"/>
      <c r="GBF12" s="781"/>
      <c r="GBG12" s="782"/>
      <c r="GBH12" s="782"/>
      <c r="GBI12" s="777"/>
      <c r="GBJ12" s="778"/>
      <c r="GBK12" s="779"/>
      <c r="GBL12" s="780"/>
      <c r="GBM12" s="781"/>
      <c r="GBN12" s="782"/>
      <c r="GBO12" s="782"/>
      <c r="GBP12" s="777"/>
      <c r="GBQ12" s="778"/>
      <c r="GBR12" s="779"/>
      <c r="GBS12" s="780"/>
      <c r="GBT12" s="781"/>
      <c r="GBU12" s="782"/>
      <c r="GBV12" s="782"/>
      <c r="GBW12" s="777"/>
      <c r="GBX12" s="778"/>
      <c r="GBY12" s="779"/>
      <c r="GBZ12" s="780"/>
      <c r="GCA12" s="781"/>
      <c r="GCB12" s="782"/>
      <c r="GCC12" s="782"/>
      <c r="GCD12" s="777"/>
      <c r="GCE12" s="778"/>
      <c r="GCF12" s="779"/>
      <c r="GCG12" s="780"/>
      <c r="GCH12" s="781"/>
      <c r="GCI12" s="782"/>
      <c r="GCJ12" s="782"/>
      <c r="GCK12" s="777"/>
      <c r="GCL12" s="778"/>
      <c r="GCM12" s="779"/>
      <c r="GCN12" s="780"/>
      <c r="GCO12" s="781"/>
      <c r="GCP12" s="782"/>
      <c r="GCQ12" s="782"/>
      <c r="GCR12" s="777"/>
      <c r="GCS12" s="778"/>
      <c r="GCT12" s="779"/>
      <c r="GCU12" s="780"/>
      <c r="GCV12" s="781"/>
      <c r="GCW12" s="782"/>
      <c r="GCX12" s="782"/>
      <c r="GCY12" s="777"/>
      <c r="GCZ12" s="778"/>
      <c r="GDA12" s="779"/>
      <c r="GDB12" s="780"/>
      <c r="GDC12" s="781"/>
      <c r="GDD12" s="782"/>
      <c r="GDE12" s="782"/>
      <c r="GDF12" s="777"/>
      <c r="GDG12" s="778"/>
      <c r="GDH12" s="779"/>
      <c r="GDI12" s="780"/>
      <c r="GDJ12" s="781"/>
      <c r="GDK12" s="782"/>
      <c r="GDL12" s="782"/>
      <c r="GDM12" s="777"/>
      <c r="GDN12" s="778"/>
      <c r="GDO12" s="779"/>
      <c r="GDP12" s="780"/>
      <c r="GDQ12" s="781"/>
      <c r="GDR12" s="782"/>
      <c r="GDS12" s="782"/>
      <c r="GDT12" s="777"/>
      <c r="GDU12" s="778"/>
      <c r="GDV12" s="779"/>
      <c r="GDW12" s="780"/>
      <c r="GDX12" s="781"/>
      <c r="GDY12" s="782"/>
      <c r="GDZ12" s="782"/>
      <c r="GEA12" s="777"/>
      <c r="GEB12" s="778"/>
      <c r="GEC12" s="779"/>
      <c r="GED12" s="780"/>
      <c r="GEE12" s="781"/>
      <c r="GEF12" s="782"/>
      <c r="GEG12" s="782"/>
      <c r="GEH12" s="777"/>
      <c r="GEI12" s="778"/>
      <c r="GEJ12" s="779"/>
      <c r="GEK12" s="780"/>
      <c r="GEL12" s="781"/>
      <c r="GEM12" s="782"/>
      <c r="GEN12" s="782"/>
      <c r="GEO12" s="777"/>
      <c r="GEP12" s="778"/>
      <c r="GEQ12" s="779"/>
      <c r="GER12" s="780"/>
      <c r="GES12" s="781"/>
      <c r="GET12" s="782"/>
      <c r="GEU12" s="782"/>
      <c r="GEV12" s="777"/>
      <c r="GEW12" s="778"/>
      <c r="GEX12" s="779"/>
      <c r="GEY12" s="780"/>
      <c r="GEZ12" s="781"/>
      <c r="GFA12" s="782"/>
      <c r="GFB12" s="782"/>
      <c r="GFC12" s="777"/>
      <c r="GFD12" s="778"/>
      <c r="GFE12" s="779"/>
      <c r="GFF12" s="780"/>
      <c r="GFG12" s="781"/>
      <c r="GFH12" s="782"/>
      <c r="GFI12" s="782"/>
      <c r="GFJ12" s="777"/>
      <c r="GFK12" s="778"/>
      <c r="GFL12" s="779"/>
      <c r="GFM12" s="780"/>
      <c r="GFN12" s="781"/>
      <c r="GFO12" s="782"/>
      <c r="GFP12" s="782"/>
      <c r="GFQ12" s="777"/>
      <c r="GFR12" s="778"/>
      <c r="GFS12" s="779"/>
      <c r="GFT12" s="780"/>
      <c r="GFU12" s="781"/>
      <c r="GFV12" s="782"/>
      <c r="GFW12" s="782"/>
      <c r="GFX12" s="777"/>
      <c r="GFY12" s="778"/>
      <c r="GFZ12" s="779"/>
      <c r="GGA12" s="780"/>
      <c r="GGB12" s="781"/>
      <c r="GGC12" s="782"/>
      <c r="GGD12" s="782"/>
      <c r="GGE12" s="777"/>
      <c r="GGF12" s="778"/>
      <c r="GGG12" s="779"/>
      <c r="GGH12" s="780"/>
      <c r="GGI12" s="781"/>
      <c r="GGJ12" s="782"/>
      <c r="GGK12" s="782"/>
      <c r="GGL12" s="777"/>
      <c r="GGM12" s="778"/>
      <c r="GGN12" s="779"/>
      <c r="GGO12" s="780"/>
      <c r="GGP12" s="781"/>
      <c r="GGQ12" s="782"/>
      <c r="GGR12" s="782"/>
      <c r="GGS12" s="777"/>
      <c r="GGT12" s="778"/>
      <c r="GGU12" s="779"/>
      <c r="GGV12" s="780"/>
      <c r="GGW12" s="781"/>
      <c r="GGX12" s="782"/>
      <c r="GGY12" s="782"/>
      <c r="GGZ12" s="777"/>
      <c r="GHA12" s="778"/>
      <c r="GHB12" s="779"/>
      <c r="GHC12" s="780"/>
      <c r="GHD12" s="781"/>
      <c r="GHE12" s="782"/>
      <c r="GHF12" s="782"/>
      <c r="GHG12" s="777"/>
      <c r="GHH12" s="778"/>
      <c r="GHI12" s="779"/>
      <c r="GHJ12" s="780"/>
      <c r="GHK12" s="781"/>
      <c r="GHL12" s="782"/>
      <c r="GHM12" s="782"/>
      <c r="GHN12" s="777"/>
      <c r="GHO12" s="778"/>
      <c r="GHP12" s="779"/>
      <c r="GHQ12" s="780"/>
      <c r="GHR12" s="781"/>
      <c r="GHS12" s="782"/>
      <c r="GHT12" s="782"/>
      <c r="GHU12" s="777"/>
      <c r="GHV12" s="778"/>
      <c r="GHW12" s="779"/>
      <c r="GHX12" s="780"/>
      <c r="GHY12" s="781"/>
      <c r="GHZ12" s="782"/>
      <c r="GIA12" s="782"/>
      <c r="GIB12" s="777"/>
      <c r="GIC12" s="778"/>
      <c r="GID12" s="779"/>
      <c r="GIE12" s="780"/>
      <c r="GIF12" s="781"/>
      <c r="GIG12" s="782"/>
      <c r="GIH12" s="782"/>
      <c r="GII12" s="777"/>
      <c r="GIJ12" s="778"/>
      <c r="GIK12" s="779"/>
      <c r="GIL12" s="780"/>
      <c r="GIM12" s="781"/>
      <c r="GIN12" s="782"/>
      <c r="GIO12" s="782"/>
      <c r="GIP12" s="777"/>
      <c r="GIQ12" s="778"/>
      <c r="GIR12" s="779"/>
      <c r="GIS12" s="780"/>
      <c r="GIT12" s="781"/>
      <c r="GIU12" s="782"/>
      <c r="GIV12" s="782"/>
      <c r="GIW12" s="777"/>
      <c r="GIX12" s="778"/>
      <c r="GIY12" s="779"/>
      <c r="GIZ12" s="780"/>
      <c r="GJA12" s="781"/>
      <c r="GJB12" s="782"/>
      <c r="GJC12" s="782"/>
      <c r="GJD12" s="777"/>
      <c r="GJE12" s="778"/>
      <c r="GJF12" s="779"/>
      <c r="GJG12" s="780"/>
      <c r="GJH12" s="781"/>
      <c r="GJI12" s="782"/>
      <c r="GJJ12" s="782"/>
      <c r="GJK12" s="777"/>
      <c r="GJL12" s="778"/>
      <c r="GJM12" s="779"/>
      <c r="GJN12" s="780"/>
      <c r="GJO12" s="781"/>
      <c r="GJP12" s="782"/>
      <c r="GJQ12" s="782"/>
      <c r="GJR12" s="777"/>
      <c r="GJS12" s="778"/>
      <c r="GJT12" s="779"/>
      <c r="GJU12" s="780"/>
      <c r="GJV12" s="781"/>
      <c r="GJW12" s="782"/>
      <c r="GJX12" s="782"/>
      <c r="GJY12" s="777"/>
      <c r="GJZ12" s="778"/>
      <c r="GKA12" s="779"/>
      <c r="GKB12" s="780"/>
      <c r="GKC12" s="781"/>
      <c r="GKD12" s="782"/>
      <c r="GKE12" s="782"/>
      <c r="GKF12" s="777"/>
      <c r="GKG12" s="778"/>
      <c r="GKH12" s="779"/>
      <c r="GKI12" s="780"/>
      <c r="GKJ12" s="781"/>
      <c r="GKK12" s="782"/>
      <c r="GKL12" s="782"/>
      <c r="GKM12" s="777"/>
      <c r="GKN12" s="778"/>
      <c r="GKO12" s="779"/>
      <c r="GKP12" s="780"/>
      <c r="GKQ12" s="781"/>
      <c r="GKR12" s="782"/>
      <c r="GKS12" s="782"/>
      <c r="GKT12" s="777"/>
      <c r="GKU12" s="778"/>
      <c r="GKV12" s="779"/>
      <c r="GKW12" s="780"/>
      <c r="GKX12" s="781"/>
      <c r="GKY12" s="782"/>
      <c r="GKZ12" s="782"/>
      <c r="GLA12" s="777"/>
      <c r="GLB12" s="778"/>
      <c r="GLC12" s="779"/>
      <c r="GLD12" s="780"/>
      <c r="GLE12" s="781"/>
      <c r="GLF12" s="782"/>
      <c r="GLG12" s="782"/>
      <c r="GLH12" s="777"/>
      <c r="GLI12" s="778"/>
      <c r="GLJ12" s="779"/>
      <c r="GLK12" s="780"/>
      <c r="GLL12" s="781"/>
      <c r="GLM12" s="782"/>
      <c r="GLN12" s="782"/>
      <c r="GLO12" s="777"/>
      <c r="GLP12" s="778"/>
      <c r="GLQ12" s="779"/>
      <c r="GLR12" s="780"/>
      <c r="GLS12" s="781"/>
      <c r="GLT12" s="782"/>
      <c r="GLU12" s="782"/>
      <c r="GLV12" s="777"/>
      <c r="GLW12" s="778"/>
      <c r="GLX12" s="779"/>
      <c r="GLY12" s="780"/>
      <c r="GLZ12" s="781"/>
      <c r="GMA12" s="782"/>
      <c r="GMB12" s="782"/>
      <c r="GMC12" s="777"/>
      <c r="GMD12" s="778"/>
      <c r="GME12" s="779"/>
      <c r="GMF12" s="780"/>
      <c r="GMG12" s="781"/>
      <c r="GMH12" s="782"/>
      <c r="GMI12" s="782"/>
      <c r="GMJ12" s="777"/>
      <c r="GMK12" s="778"/>
      <c r="GML12" s="779"/>
      <c r="GMM12" s="780"/>
      <c r="GMN12" s="781"/>
      <c r="GMO12" s="782"/>
      <c r="GMP12" s="782"/>
      <c r="GMQ12" s="777"/>
      <c r="GMR12" s="778"/>
      <c r="GMS12" s="779"/>
      <c r="GMT12" s="780"/>
      <c r="GMU12" s="781"/>
      <c r="GMV12" s="782"/>
      <c r="GMW12" s="782"/>
      <c r="GMX12" s="777"/>
      <c r="GMY12" s="778"/>
      <c r="GMZ12" s="779"/>
      <c r="GNA12" s="780"/>
      <c r="GNB12" s="781"/>
      <c r="GNC12" s="782"/>
      <c r="GND12" s="782"/>
      <c r="GNE12" s="777"/>
      <c r="GNF12" s="778"/>
      <c r="GNG12" s="779"/>
      <c r="GNH12" s="780"/>
      <c r="GNI12" s="781"/>
      <c r="GNJ12" s="782"/>
      <c r="GNK12" s="782"/>
      <c r="GNL12" s="777"/>
      <c r="GNM12" s="778"/>
      <c r="GNN12" s="779"/>
      <c r="GNO12" s="780"/>
      <c r="GNP12" s="781"/>
      <c r="GNQ12" s="782"/>
      <c r="GNR12" s="782"/>
      <c r="GNS12" s="777"/>
      <c r="GNT12" s="778"/>
      <c r="GNU12" s="779"/>
      <c r="GNV12" s="780"/>
      <c r="GNW12" s="781"/>
      <c r="GNX12" s="782"/>
      <c r="GNY12" s="782"/>
      <c r="GNZ12" s="777"/>
      <c r="GOA12" s="778"/>
      <c r="GOB12" s="779"/>
      <c r="GOC12" s="780"/>
      <c r="GOD12" s="781"/>
      <c r="GOE12" s="782"/>
      <c r="GOF12" s="782"/>
      <c r="GOG12" s="777"/>
      <c r="GOH12" s="778"/>
      <c r="GOI12" s="779"/>
      <c r="GOJ12" s="780"/>
      <c r="GOK12" s="781"/>
      <c r="GOL12" s="782"/>
      <c r="GOM12" s="782"/>
      <c r="GON12" s="777"/>
      <c r="GOO12" s="778"/>
      <c r="GOP12" s="779"/>
      <c r="GOQ12" s="780"/>
      <c r="GOR12" s="781"/>
      <c r="GOS12" s="782"/>
      <c r="GOT12" s="782"/>
      <c r="GOU12" s="777"/>
      <c r="GOV12" s="778"/>
      <c r="GOW12" s="779"/>
      <c r="GOX12" s="780"/>
      <c r="GOY12" s="781"/>
      <c r="GOZ12" s="782"/>
      <c r="GPA12" s="782"/>
      <c r="GPB12" s="777"/>
      <c r="GPC12" s="778"/>
      <c r="GPD12" s="779"/>
      <c r="GPE12" s="780"/>
      <c r="GPF12" s="781"/>
      <c r="GPG12" s="782"/>
      <c r="GPH12" s="782"/>
      <c r="GPI12" s="777"/>
      <c r="GPJ12" s="778"/>
      <c r="GPK12" s="779"/>
      <c r="GPL12" s="780"/>
      <c r="GPM12" s="781"/>
      <c r="GPN12" s="782"/>
      <c r="GPO12" s="782"/>
      <c r="GPP12" s="777"/>
      <c r="GPQ12" s="778"/>
      <c r="GPR12" s="779"/>
      <c r="GPS12" s="780"/>
      <c r="GPT12" s="781"/>
      <c r="GPU12" s="782"/>
      <c r="GPV12" s="782"/>
      <c r="GPW12" s="777"/>
      <c r="GPX12" s="778"/>
      <c r="GPY12" s="779"/>
      <c r="GPZ12" s="780"/>
      <c r="GQA12" s="781"/>
      <c r="GQB12" s="782"/>
      <c r="GQC12" s="782"/>
      <c r="GQD12" s="777"/>
      <c r="GQE12" s="778"/>
      <c r="GQF12" s="779"/>
      <c r="GQG12" s="780"/>
      <c r="GQH12" s="781"/>
      <c r="GQI12" s="782"/>
      <c r="GQJ12" s="782"/>
      <c r="GQK12" s="777"/>
      <c r="GQL12" s="778"/>
      <c r="GQM12" s="779"/>
      <c r="GQN12" s="780"/>
      <c r="GQO12" s="781"/>
      <c r="GQP12" s="782"/>
      <c r="GQQ12" s="782"/>
      <c r="GQR12" s="777"/>
      <c r="GQS12" s="778"/>
      <c r="GQT12" s="779"/>
      <c r="GQU12" s="780"/>
      <c r="GQV12" s="781"/>
      <c r="GQW12" s="782"/>
      <c r="GQX12" s="782"/>
      <c r="GQY12" s="777"/>
      <c r="GQZ12" s="778"/>
      <c r="GRA12" s="779"/>
      <c r="GRB12" s="780"/>
      <c r="GRC12" s="781"/>
      <c r="GRD12" s="782"/>
      <c r="GRE12" s="782"/>
      <c r="GRF12" s="777"/>
      <c r="GRG12" s="778"/>
      <c r="GRH12" s="779"/>
      <c r="GRI12" s="780"/>
      <c r="GRJ12" s="781"/>
      <c r="GRK12" s="782"/>
      <c r="GRL12" s="782"/>
      <c r="GRM12" s="777"/>
      <c r="GRN12" s="778"/>
      <c r="GRO12" s="779"/>
      <c r="GRP12" s="780"/>
      <c r="GRQ12" s="781"/>
      <c r="GRR12" s="782"/>
      <c r="GRS12" s="782"/>
      <c r="GRT12" s="777"/>
      <c r="GRU12" s="778"/>
      <c r="GRV12" s="779"/>
      <c r="GRW12" s="780"/>
      <c r="GRX12" s="781"/>
      <c r="GRY12" s="782"/>
      <c r="GRZ12" s="782"/>
      <c r="GSA12" s="777"/>
      <c r="GSB12" s="778"/>
      <c r="GSC12" s="779"/>
      <c r="GSD12" s="780"/>
      <c r="GSE12" s="781"/>
      <c r="GSF12" s="782"/>
      <c r="GSG12" s="782"/>
      <c r="GSH12" s="777"/>
      <c r="GSI12" s="778"/>
      <c r="GSJ12" s="779"/>
      <c r="GSK12" s="780"/>
      <c r="GSL12" s="781"/>
      <c r="GSM12" s="782"/>
      <c r="GSN12" s="782"/>
      <c r="GSO12" s="777"/>
      <c r="GSP12" s="778"/>
      <c r="GSQ12" s="779"/>
      <c r="GSR12" s="780"/>
      <c r="GSS12" s="781"/>
      <c r="GST12" s="782"/>
      <c r="GSU12" s="782"/>
      <c r="GSV12" s="777"/>
      <c r="GSW12" s="778"/>
      <c r="GSX12" s="779"/>
      <c r="GSY12" s="780"/>
      <c r="GSZ12" s="781"/>
      <c r="GTA12" s="782"/>
      <c r="GTB12" s="782"/>
      <c r="GTC12" s="777"/>
      <c r="GTD12" s="778"/>
      <c r="GTE12" s="779"/>
      <c r="GTF12" s="780"/>
      <c r="GTG12" s="781"/>
      <c r="GTH12" s="782"/>
      <c r="GTI12" s="782"/>
      <c r="GTJ12" s="777"/>
      <c r="GTK12" s="778"/>
      <c r="GTL12" s="779"/>
      <c r="GTM12" s="780"/>
      <c r="GTN12" s="781"/>
      <c r="GTO12" s="782"/>
      <c r="GTP12" s="782"/>
      <c r="GTQ12" s="777"/>
      <c r="GTR12" s="778"/>
      <c r="GTS12" s="779"/>
      <c r="GTT12" s="780"/>
      <c r="GTU12" s="781"/>
      <c r="GTV12" s="782"/>
      <c r="GTW12" s="782"/>
      <c r="GTX12" s="777"/>
      <c r="GTY12" s="778"/>
      <c r="GTZ12" s="779"/>
      <c r="GUA12" s="780"/>
      <c r="GUB12" s="781"/>
      <c r="GUC12" s="782"/>
      <c r="GUD12" s="782"/>
      <c r="GUE12" s="777"/>
      <c r="GUF12" s="778"/>
      <c r="GUG12" s="779"/>
      <c r="GUH12" s="780"/>
      <c r="GUI12" s="781"/>
      <c r="GUJ12" s="782"/>
      <c r="GUK12" s="782"/>
      <c r="GUL12" s="777"/>
      <c r="GUM12" s="778"/>
      <c r="GUN12" s="779"/>
      <c r="GUO12" s="780"/>
      <c r="GUP12" s="781"/>
      <c r="GUQ12" s="782"/>
      <c r="GUR12" s="782"/>
      <c r="GUS12" s="777"/>
      <c r="GUT12" s="778"/>
      <c r="GUU12" s="779"/>
      <c r="GUV12" s="780"/>
      <c r="GUW12" s="781"/>
      <c r="GUX12" s="782"/>
      <c r="GUY12" s="782"/>
      <c r="GUZ12" s="777"/>
      <c r="GVA12" s="778"/>
      <c r="GVB12" s="779"/>
      <c r="GVC12" s="780"/>
      <c r="GVD12" s="781"/>
      <c r="GVE12" s="782"/>
      <c r="GVF12" s="782"/>
      <c r="GVG12" s="777"/>
      <c r="GVH12" s="778"/>
      <c r="GVI12" s="779"/>
      <c r="GVJ12" s="780"/>
      <c r="GVK12" s="781"/>
      <c r="GVL12" s="782"/>
      <c r="GVM12" s="782"/>
      <c r="GVN12" s="777"/>
      <c r="GVO12" s="778"/>
      <c r="GVP12" s="779"/>
      <c r="GVQ12" s="780"/>
      <c r="GVR12" s="781"/>
      <c r="GVS12" s="782"/>
      <c r="GVT12" s="782"/>
      <c r="GVU12" s="777"/>
      <c r="GVV12" s="778"/>
      <c r="GVW12" s="779"/>
      <c r="GVX12" s="780"/>
      <c r="GVY12" s="781"/>
      <c r="GVZ12" s="782"/>
      <c r="GWA12" s="782"/>
      <c r="GWB12" s="777"/>
      <c r="GWC12" s="778"/>
      <c r="GWD12" s="779"/>
      <c r="GWE12" s="780"/>
      <c r="GWF12" s="781"/>
      <c r="GWG12" s="782"/>
      <c r="GWH12" s="782"/>
      <c r="GWI12" s="777"/>
      <c r="GWJ12" s="778"/>
      <c r="GWK12" s="779"/>
      <c r="GWL12" s="780"/>
      <c r="GWM12" s="781"/>
      <c r="GWN12" s="782"/>
      <c r="GWO12" s="782"/>
      <c r="GWP12" s="777"/>
      <c r="GWQ12" s="778"/>
      <c r="GWR12" s="779"/>
      <c r="GWS12" s="780"/>
      <c r="GWT12" s="781"/>
      <c r="GWU12" s="782"/>
      <c r="GWV12" s="782"/>
      <c r="GWW12" s="777"/>
      <c r="GWX12" s="778"/>
      <c r="GWY12" s="779"/>
      <c r="GWZ12" s="780"/>
      <c r="GXA12" s="781"/>
      <c r="GXB12" s="782"/>
      <c r="GXC12" s="782"/>
      <c r="GXD12" s="777"/>
      <c r="GXE12" s="778"/>
      <c r="GXF12" s="779"/>
      <c r="GXG12" s="780"/>
      <c r="GXH12" s="781"/>
      <c r="GXI12" s="782"/>
      <c r="GXJ12" s="782"/>
      <c r="GXK12" s="777"/>
      <c r="GXL12" s="778"/>
      <c r="GXM12" s="779"/>
      <c r="GXN12" s="780"/>
      <c r="GXO12" s="781"/>
      <c r="GXP12" s="782"/>
      <c r="GXQ12" s="782"/>
      <c r="GXR12" s="777"/>
      <c r="GXS12" s="778"/>
      <c r="GXT12" s="779"/>
      <c r="GXU12" s="780"/>
      <c r="GXV12" s="781"/>
      <c r="GXW12" s="782"/>
      <c r="GXX12" s="782"/>
      <c r="GXY12" s="777"/>
      <c r="GXZ12" s="778"/>
      <c r="GYA12" s="779"/>
      <c r="GYB12" s="780"/>
      <c r="GYC12" s="781"/>
      <c r="GYD12" s="782"/>
      <c r="GYE12" s="782"/>
      <c r="GYF12" s="777"/>
      <c r="GYG12" s="778"/>
      <c r="GYH12" s="779"/>
      <c r="GYI12" s="780"/>
      <c r="GYJ12" s="781"/>
      <c r="GYK12" s="782"/>
      <c r="GYL12" s="782"/>
      <c r="GYM12" s="777"/>
      <c r="GYN12" s="778"/>
      <c r="GYO12" s="779"/>
      <c r="GYP12" s="780"/>
      <c r="GYQ12" s="781"/>
      <c r="GYR12" s="782"/>
      <c r="GYS12" s="782"/>
      <c r="GYT12" s="777"/>
      <c r="GYU12" s="778"/>
      <c r="GYV12" s="779"/>
      <c r="GYW12" s="780"/>
      <c r="GYX12" s="781"/>
      <c r="GYY12" s="782"/>
      <c r="GYZ12" s="782"/>
      <c r="GZA12" s="777"/>
      <c r="GZB12" s="778"/>
      <c r="GZC12" s="779"/>
      <c r="GZD12" s="780"/>
      <c r="GZE12" s="781"/>
      <c r="GZF12" s="782"/>
      <c r="GZG12" s="782"/>
      <c r="GZH12" s="777"/>
      <c r="GZI12" s="778"/>
      <c r="GZJ12" s="779"/>
      <c r="GZK12" s="780"/>
      <c r="GZL12" s="781"/>
      <c r="GZM12" s="782"/>
      <c r="GZN12" s="782"/>
      <c r="GZO12" s="777"/>
      <c r="GZP12" s="778"/>
      <c r="GZQ12" s="779"/>
      <c r="GZR12" s="780"/>
      <c r="GZS12" s="781"/>
      <c r="GZT12" s="782"/>
      <c r="GZU12" s="782"/>
      <c r="GZV12" s="777"/>
      <c r="GZW12" s="778"/>
      <c r="GZX12" s="779"/>
      <c r="GZY12" s="780"/>
      <c r="GZZ12" s="781"/>
      <c r="HAA12" s="782"/>
      <c r="HAB12" s="782"/>
      <c r="HAC12" s="777"/>
      <c r="HAD12" s="778"/>
      <c r="HAE12" s="779"/>
      <c r="HAF12" s="780"/>
      <c r="HAG12" s="781"/>
      <c r="HAH12" s="782"/>
      <c r="HAI12" s="782"/>
      <c r="HAJ12" s="777"/>
      <c r="HAK12" s="778"/>
      <c r="HAL12" s="779"/>
      <c r="HAM12" s="780"/>
      <c r="HAN12" s="781"/>
      <c r="HAO12" s="782"/>
      <c r="HAP12" s="782"/>
      <c r="HAQ12" s="777"/>
      <c r="HAR12" s="778"/>
      <c r="HAS12" s="779"/>
      <c r="HAT12" s="780"/>
      <c r="HAU12" s="781"/>
      <c r="HAV12" s="782"/>
      <c r="HAW12" s="782"/>
      <c r="HAX12" s="777"/>
      <c r="HAY12" s="778"/>
      <c r="HAZ12" s="779"/>
      <c r="HBA12" s="780"/>
      <c r="HBB12" s="781"/>
      <c r="HBC12" s="782"/>
      <c r="HBD12" s="782"/>
      <c r="HBE12" s="777"/>
      <c r="HBF12" s="778"/>
      <c r="HBG12" s="779"/>
      <c r="HBH12" s="780"/>
      <c r="HBI12" s="781"/>
      <c r="HBJ12" s="782"/>
      <c r="HBK12" s="782"/>
      <c r="HBL12" s="777"/>
      <c r="HBM12" s="778"/>
      <c r="HBN12" s="779"/>
      <c r="HBO12" s="780"/>
      <c r="HBP12" s="781"/>
      <c r="HBQ12" s="782"/>
      <c r="HBR12" s="782"/>
      <c r="HBS12" s="777"/>
      <c r="HBT12" s="778"/>
      <c r="HBU12" s="779"/>
      <c r="HBV12" s="780"/>
      <c r="HBW12" s="781"/>
      <c r="HBX12" s="782"/>
      <c r="HBY12" s="782"/>
      <c r="HBZ12" s="777"/>
      <c r="HCA12" s="778"/>
      <c r="HCB12" s="779"/>
      <c r="HCC12" s="780"/>
      <c r="HCD12" s="781"/>
      <c r="HCE12" s="782"/>
      <c r="HCF12" s="782"/>
      <c r="HCG12" s="777"/>
      <c r="HCH12" s="778"/>
      <c r="HCI12" s="779"/>
      <c r="HCJ12" s="780"/>
      <c r="HCK12" s="781"/>
      <c r="HCL12" s="782"/>
      <c r="HCM12" s="782"/>
      <c r="HCN12" s="777"/>
      <c r="HCO12" s="778"/>
      <c r="HCP12" s="779"/>
      <c r="HCQ12" s="780"/>
      <c r="HCR12" s="781"/>
      <c r="HCS12" s="782"/>
      <c r="HCT12" s="782"/>
      <c r="HCU12" s="777"/>
      <c r="HCV12" s="778"/>
      <c r="HCW12" s="779"/>
      <c r="HCX12" s="780"/>
      <c r="HCY12" s="781"/>
      <c r="HCZ12" s="782"/>
      <c r="HDA12" s="782"/>
      <c r="HDB12" s="777"/>
      <c r="HDC12" s="778"/>
      <c r="HDD12" s="779"/>
      <c r="HDE12" s="780"/>
      <c r="HDF12" s="781"/>
      <c r="HDG12" s="782"/>
      <c r="HDH12" s="782"/>
      <c r="HDI12" s="777"/>
      <c r="HDJ12" s="778"/>
      <c r="HDK12" s="779"/>
      <c r="HDL12" s="780"/>
      <c r="HDM12" s="781"/>
      <c r="HDN12" s="782"/>
      <c r="HDO12" s="782"/>
      <c r="HDP12" s="777"/>
      <c r="HDQ12" s="778"/>
      <c r="HDR12" s="779"/>
      <c r="HDS12" s="780"/>
      <c r="HDT12" s="781"/>
      <c r="HDU12" s="782"/>
      <c r="HDV12" s="782"/>
      <c r="HDW12" s="777"/>
      <c r="HDX12" s="778"/>
      <c r="HDY12" s="779"/>
      <c r="HDZ12" s="780"/>
      <c r="HEA12" s="781"/>
      <c r="HEB12" s="782"/>
      <c r="HEC12" s="782"/>
      <c r="HED12" s="777"/>
      <c r="HEE12" s="778"/>
      <c r="HEF12" s="779"/>
      <c r="HEG12" s="780"/>
      <c r="HEH12" s="781"/>
      <c r="HEI12" s="782"/>
      <c r="HEJ12" s="782"/>
      <c r="HEK12" s="777"/>
      <c r="HEL12" s="778"/>
      <c r="HEM12" s="779"/>
      <c r="HEN12" s="780"/>
      <c r="HEO12" s="781"/>
      <c r="HEP12" s="782"/>
      <c r="HEQ12" s="782"/>
      <c r="HER12" s="777"/>
      <c r="HES12" s="778"/>
      <c r="HET12" s="779"/>
      <c r="HEU12" s="780"/>
      <c r="HEV12" s="781"/>
      <c r="HEW12" s="782"/>
      <c r="HEX12" s="782"/>
      <c r="HEY12" s="777"/>
      <c r="HEZ12" s="778"/>
      <c r="HFA12" s="779"/>
      <c r="HFB12" s="780"/>
      <c r="HFC12" s="781"/>
      <c r="HFD12" s="782"/>
      <c r="HFE12" s="782"/>
      <c r="HFF12" s="777"/>
      <c r="HFG12" s="778"/>
      <c r="HFH12" s="779"/>
      <c r="HFI12" s="780"/>
      <c r="HFJ12" s="781"/>
      <c r="HFK12" s="782"/>
      <c r="HFL12" s="782"/>
      <c r="HFM12" s="777"/>
      <c r="HFN12" s="778"/>
      <c r="HFO12" s="779"/>
      <c r="HFP12" s="780"/>
      <c r="HFQ12" s="781"/>
      <c r="HFR12" s="782"/>
      <c r="HFS12" s="782"/>
      <c r="HFT12" s="777"/>
      <c r="HFU12" s="778"/>
      <c r="HFV12" s="779"/>
      <c r="HFW12" s="780"/>
      <c r="HFX12" s="781"/>
      <c r="HFY12" s="782"/>
      <c r="HFZ12" s="782"/>
      <c r="HGA12" s="777"/>
      <c r="HGB12" s="778"/>
      <c r="HGC12" s="779"/>
      <c r="HGD12" s="780"/>
      <c r="HGE12" s="781"/>
      <c r="HGF12" s="782"/>
      <c r="HGG12" s="782"/>
      <c r="HGH12" s="777"/>
      <c r="HGI12" s="778"/>
      <c r="HGJ12" s="779"/>
      <c r="HGK12" s="780"/>
      <c r="HGL12" s="781"/>
      <c r="HGM12" s="782"/>
      <c r="HGN12" s="782"/>
      <c r="HGO12" s="777"/>
      <c r="HGP12" s="778"/>
      <c r="HGQ12" s="779"/>
      <c r="HGR12" s="780"/>
      <c r="HGS12" s="781"/>
      <c r="HGT12" s="782"/>
      <c r="HGU12" s="782"/>
      <c r="HGV12" s="777"/>
      <c r="HGW12" s="778"/>
      <c r="HGX12" s="779"/>
      <c r="HGY12" s="780"/>
      <c r="HGZ12" s="781"/>
      <c r="HHA12" s="782"/>
      <c r="HHB12" s="782"/>
      <c r="HHC12" s="777"/>
      <c r="HHD12" s="778"/>
      <c r="HHE12" s="779"/>
      <c r="HHF12" s="780"/>
      <c r="HHG12" s="781"/>
      <c r="HHH12" s="782"/>
      <c r="HHI12" s="782"/>
      <c r="HHJ12" s="777"/>
      <c r="HHK12" s="778"/>
      <c r="HHL12" s="779"/>
      <c r="HHM12" s="780"/>
      <c r="HHN12" s="781"/>
      <c r="HHO12" s="782"/>
      <c r="HHP12" s="782"/>
      <c r="HHQ12" s="777"/>
      <c r="HHR12" s="778"/>
      <c r="HHS12" s="779"/>
      <c r="HHT12" s="780"/>
      <c r="HHU12" s="781"/>
      <c r="HHV12" s="782"/>
      <c r="HHW12" s="782"/>
      <c r="HHX12" s="777"/>
      <c r="HHY12" s="778"/>
      <c r="HHZ12" s="779"/>
      <c r="HIA12" s="780"/>
      <c r="HIB12" s="781"/>
      <c r="HIC12" s="782"/>
      <c r="HID12" s="782"/>
      <c r="HIE12" s="777"/>
      <c r="HIF12" s="778"/>
      <c r="HIG12" s="779"/>
      <c r="HIH12" s="780"/>
      <c r="HII12" s="781"/>
      <c r="HIJ12" s="782"/>
      <c r="HIK12" s="782"/>
      <c r="HIL12" s="777"/>
      <c r="HIM12" s="778"/>
      <c r="HIN12" s="779"/>
      <c r="HIO12" s="780"/>
      <c r="HIP12" s="781"/>
      <c r="HIQ12" s="782"/>
      <c r="HIR12" s="782"/>
      <c r="HIS12" s="777"/>
      <c r="HIT12" s="778"/>
      <c r="HIU12" s="779"/>
      <c r="HIV12" s="780"/>
      <c r="HIW12" s="781"/>
      <c r="HIX12" s="782"/>
      <c r="HIY12" s="782"/>
      <c r="HIZ12" s="777"/>
      <c r="HJA12" s="778"/>
      <c r="HJB12" s="779"/>
      <c r="HJC12" s="780"/>
      <c r="HJD12" s="781"/>
      <c r="HJE12" s="782"/>
      <c r="HJF12" s="782"/>
      <c r="HJG12" s="777"/>
      <c r="HJH12" s="778"/>
      <c r="HJI12" s="779"/>
      <c r="HJJ12" s="780"/>
      <c r="HJK12" s="781"/>
      <c r="HJL12" s="782"/>
      <c r="HJM12" s="782"/>
      <c r="HJN12" s="777"/>
      <c r="HJO12" s="778"/>
      <c r="HJP12" s="779"/>
      <c r="HJQ12" s="780"/>
      <c r="HJR12" s="781"/>
      <c r="HJS12" s="782"/>
      <c r="HJT12" s="782"/>
      <c r="HJU12" s="777"/>
      <c r="HJV12" s="778"/>
      <c r="HJW12" s="779"/>
      <c r="HJX12" s="780"/>
      <c r="HJY12" s="781"/>
      <c r="HJZ12" s="782"/>
      <c r="HKA12" s="782"/>
      <c r="HKB12" s="777"/>
      <c r="HKC12" s="778"/>
      <c r="HKD12" s="779"/>
      <c r="HKE12" s="780"/>
      <c r="HKF12" s="781"/>
      <c r="HKG12" s="782"/>
      <c r="HKH12" s="782"/>
      <c r="HKI12" s="777"/>
      <c r="HKJ12" s="778"/>
      <c r="HKK12" s="779"/>
      <c r="HKL12" s="780"/>
      <c r="HKM12" s="781"/>
      <c r="HKN12" s="782"/>
      <c r="HKO12" s="782"/>
      <c r="HKP12" s="777"/>
      <c r="HKQ12" s="778"/>
      <c r="HKR12" s="779"/>
      <c r="HKS12" s="780"/>
      <c r="HKT12" s="781"/>
      <c r="HKU12" s="782"/>
      <c r="HKV12" s="782"/>
      <c r="HKW12" s="777"/>
      <c r="HKX12" s="778"/>
      <c r="HKY12" s="779"/>
      <c r="HKZ12" s="780"/>
      <c r="HLA12" s="781"/>
      <c r="HLB12" s="782"/>
      <c r="HLC12" s="782"/>
      <c r="HLD12" s="777"/>
      <c r="HLE12" s="778"/>
      <c r="HLF12" s="779"/>
      <c r="HLG12" s="780"/>
      <c r="HLH12" s="781"/>
      <c r="HLI12" s="782"/>
      <c r="HLJ12" s="782"/>
      <c r="HLK12" s="777"/>
      <c r="HLL12" s="778"/>
      <c r="HLM12" s="779"/>
      <c r="HLN12" s="780"/>
      <c r="HLO12" s="781"/>
      <c r="HLP12" s="782"/>
      <c r="HLQ12" s="782"/>
      <c r="HLR12" s="777"/>
      <c r="HLS12" s="778"/>
      <c r="HLT12" s="779"/>
      <c r="HLU12" s="780"/>
      <c r="HLV12" s="781"/>
      <c r="HLW12" s="782"/>
      <c r="HLX12" s="782"/>
      <c r="HLY12" s="777"/>
      <c r="HLZ12" s="778"/>
      <c r="HMA12" s="779"/>
      <c r="HMB12" s="780"/>
      <c r="HMC12" s="781"/>
      <c r="HMD12" s="782"/>
      <c r="HME12" s="782"/>
      <c r="HMF12" s="777"/>
      <c r="HMG12" s="778"/>
      <c r="HMH12" s="779"/>
      <c r="HMI12" s="780"/>
      <c r="HMJ12" s="781"/>
      <c r="HMK12" s="782"/>
      <c r="HML12" s="782"/>
      <c r="HMM12" s="777"/>
      <c r="HMN12" s="778"/>
      <c r="HMO12" s="779"/>
      <c r="HMP12" s="780"/>
      <c r="HMQ12" s="781"/>
      <c r="HMR12" s="782"/>
      <c r="HMS12" s="782"/>
      <c r="HMT12" s="777"/>
      <c r="HMU12" s="778"/>
      <c r="HMV12" s="779"/>
      <c r="HMW12" s="780"/>
      <c r="HMX12" s="781"/>
      <c r="HMY12" s="782"/>
      <c r="HMZ12" s="782"/>
      <c r="HNA12" s="777"/>
      <c r="HNB12" s="778"/>
      <c r="HNC12" s="779"/>
      <c r="HND12" s="780"/>
      <c r="HNE12" s="781"/>
      <c r="HNF12" s="782"/>
      <c r="HNG12" s="782"/>
      <c r="HNH12" s="777"/>
      <c r="HNI12" s="778"/>
      <c r="HNJ12" s="779"/>
      <c r="HNK12" s="780"/>
      <c r="HNL12" s="781"/>
      <c r="HNM12" s="782"/>
      <c r="HNN12" s="782"/>
      <c r="HNO12" s="777"/>
      <c r="HNP12" s="778"/>
      <c r="HNQ12" s="779"/>
      <c r="HNR12" s="780"/>
      <c r="HNS12" s="781"/>
      <c r="HNT12" s="782"/>
      <c r="HNU12" s="782"/>
      <c r="HNV12" s="777"/>
      <c r="HNW12" s="778"/>
      <c r="HNX12" s="779"/>
      <c r="HNY12" s="780"/>
      <c r="HNZ12" s="781"/>
      <c r="HOA12" s="782"/>
      <c r="HOB12" s="782"/>
      <c r="HOC12" s="777"/>
      <c r="HOD12" s="778"/>
      <c r="HOE12" s="779"/>
      <c r="HOF12" s="780"/>
      <c r="HOG12" s="781"/>
      <c r="HOH12" s="782"/>
      <c r="HOI12" s="782"/>
      <c r="HOJ12" s="777"/>
      <c r="HOK12" s="778"/>
      <c r="HOL12" s="779"/>
      <c r="HOM12" s="780"/>
      <c r="HON12" s="781"/>
      <c r="HOO12" s="782"/>
      <c r="HOP12" s="782"/>
      <c r="HOQ12" s="777"/>
      <c r="HOR12" s="778"/>
      <c r="HOS12" s="779"/>
      <c r="HOT12" s="780"/>
      <c r="HOU12" s="781"/>
      <c r="HOV12" s="782"/>
      <c r="HOW12" s="782"/>
      <c r="HOX12" s="777"/>
      <c r="HOY12" s="778"/>
      <c r="HOZ12" s="779"/>
      <c r="HPA12" s="780"/>
      <c r="HPB12" s="781"/>
      <c r="HPC12" s="782"/>
      <c r="HPD12" s="782"/>
      <c r="HPE12" s="777"/>
      <c r="HPF12" s="778"/>
      <c r="HPG12" s="779"/>
      <c r="HPH12" s="780"/>
      <c r="HPI12" s="781"/>
      <c r="HPJ12" s="782"/>
      <c r="HPK12" s="782"/>
      <c r="HPL12" s="777"/>
      <c r="HPM12" s="778"/>
      <c r="HPN12" s="779"/>
      <c r="HPO12" s="780"/>
      <c r="HPP12" s="781"/>
      <c r="HPQ12" s="782"/>
      <c r="HPR12" s="782"/>
      <c r="HPS12" s="777"/>
      <c r="HPT12" s="778"/>
      <c r="HPU12" s="779"/>
      <c r="HPV12" s="780"/>
      <c r="HPW12" s="781"/>
      <c r="HPX12" s="782"/>
      <c r="HPY12" s="782"/>
      <c r="HPZ12" s="777"/>
      <c r="HQA12" s="778"/>
      <c r="HQB12" s="779"/>
      <c r="HQC12" s="780"/>
      <c r="HQD12" s="781"/>
      <c r="HQE12" s="782"/>
      <c r="HQF12" s="782"/>
      <c r="HQG12" s="777"/>
      <c r="HQH12" s="778"/>
      <c r="HQI12" s="779"/>
      <c r="HQJ12" s="780"/>
      <c r="HQK12" s="781"/>
      <c r="HQL12" s="782"/>
      <c r="HQM12" s="782"/>
      <c r="HQN12" s="777"/>
      <c r="HQO12" s="778"/>
      <c r="HQP12" s="779"/>
      <c r="HQQ12" s="780"/>
      <c r="HQR12" s="781"/>
      <c r="HQS12" s="782"/>
      <c r="HQT12" s="782"/>
      <c r="HQU12" s="777"/>
      <c r="HQV12" s="778"/>
      <c r="HQW12" s="779"/>
      <c r="HQX12" s="780"/>
      <c r="HQY12" s="781"/>
      <c r="HQZ12" s="782"/>
      <c r="HRA12" s="782"/>
      <c r="HRB12" s="777"/>
      <c r="HRC12" s="778"/>
      <c r="HRD12" s="779"/>
      <c r="HRE12" s="780"/>
      <c r="HRF12" s="781"/>
      <c r="HRG12" s="782"/>
      <c r="HRH12" s="782"/>
      <c r="HRI12" s="777"/>
      <c r="HRJ12" s="778"/>
      <c r="HRK12" s="779"/>
      <c r="HRL12" s="780"/>
      <c r="HRM12" s="781"/>
      <c r="HRN12" s="782"/>
      <c r="HRO12" s="782"/>
      <c r="HRP12" s="777"/>
      <c r="HRQ12" s="778"/>
      <c r="HRR12" s="779"/>
      <c r="HRS12" s="780"/>
      <c r="HRT12" s="781"/>
      <c r="HRU12" s="782"/>
      <c r="HRV12" s="782"/>
      <c r="HRW12" s="777"/>
      <c r="HRX12" s="778"/>
      <c r="HRY12" s="779"/>
      <c r="HRZ12" s="780"/>
      <c r="HSA12" s="781"/>
      <c r="HSB12" s="782"/>
      <c r="HSC12" s="782"/>
      <c r="HSD12" s="777"/>
      <c r="HSE12" s="778"/>
      <c r="HSF12" s="779"/>
      <c r="HSG12" s="780"/>
      <c r="HSH12" s="781"/>
      <c r="HSI12" s="782"/>
      <c r="HSJ12" s="782"/>
      <c r="HSK12" s="777"/>
      <c r="HSL12" s="778"/>
      <c r="HSM12" s="779"/>
      <c r="HSN12" s="780"/>
      <c r="HSO12" s="781"/>
      <c r="HSP12" s="782"/>
      <c r="HSQ12" s="782"/>
      <c r="HSR12" s="777"/>
      <c r="HSS12" s="778"/>
      <c r="HST12" s="779"/>
      <c r="HSU12" s="780"/>
      <c r="HSV12" s="781"/>
      <c r="HSW12" s="782"/>
      <c r="HSX12" s="782"/>
      <c r="HSY12" s="777"/>
      <c r="HSZ12" s="778"/>
      <c r="HTA12" s="779"/>
      <c r="HTB12" s="780"/>
      <c r="HTC12" s="781"/>
      <c r="HTD12" s="782"/>
      <c r="HTE12" s="782"/>
      <c r="HTF12" s="777"/>
      <c r="HTG12" s="778"/>
      <c r="HTH12" s="779"/>
      <c r="HTI12" s="780"/>
      <c r="HTJ12" s="781"/>
      <c r="HTK12" s="782"/>
      <c r="HTL12" s="782"/>
      <c r="HTM12" s="777"/>
      <c r="HTN12" s="778"/>
      <c r="HTO12" s="779"/>
      <c r="HTP12" s="780"/>
      <c r="HTQ12" s="781"/>
      <c r="HTR12" s="782"/>
      <c r="HTS12" s="782"/>
      <c r="HTT12" s="777"/>
      <c r="HTU12" s="778"/>
      <c r="HTV12" s="779"/>
      <c r="HTW12" s="780"/>
      <c r="HTX12" s="781"/>
      <c r="HTY12" s="782"/>
      <c r="HTZ12" s="782"/>
      <c r="HUA12" s="777"/>
      <c r="HUB12" s="778"/>
      <c r="HUC12" s="779"/>
      <c r="HUD12" s="780"/>
      <c r="HUE12" s="781"/>
      <c r="HUF12" s="782"/>
      <c r="HUG12" s="782"/>
      <c r="HUH12" s="777"/>
      <c r="HUI12" s="778"/>
      <c r="HUJ12" s="779"/>
      <c r="HUK12" s="780"/>
      <c r="HUL12" s="781"/>
      <c r="HUM12" s="782"/>
      <c r="HUN12" s="782"/>
      <c r="HUO12" s="777"/>
      <c r="HUP12" s="778"/>
      <c r="HUQ12" s="779"/>
      <c r="HUR12" s="780"/>
      <c r="HUS12" s="781"/>
      <c r="HUT12" s="782"/>
      <c r="HUU12" s="782"/>
      <c r="HUV12" s="777"/>
      <c r="HUW12" s="778"/>
      <c r="HUX12" s="779"/>
      <c r="HUY12" s="780"/>
      <c r="HUZ12" s="781"/>
      <c r="HVA12" s="782"/>
      <c r="HVB12" s="782"/>
      <c r="HVC12" s="777"/>
      <c r="HVD12" s="778"/>
      <c r="HVE12" s="779"/>
      <c r="HVF12" s="780"/>
      <c r="HVG12" s="781"/>
      <c r="HVH12" s="782"/>
      <c r="HVI12" s="782"/>
      <c r="HVJ12" s="777"/>
      <c r="HVK12" s="778"/>
      <c r="HVL12" s="779"/>
      <c r="HVM12" s="780"/>
      <c r="HVN12" s="781"/>
      <c r="HVO12" s="782"/>
      <c r="HVP12" s="782"/>
      <c r="HVQ12" s="777"/>
      <c r="HVR12" s="778"/>
      <c r="HVS12" s="779"/>
      <c r="HVT12" s="780"/>
      <c r="HVU12" s="781"/>
      <c r="HVV12" s="782"/>
      <c r="HVW12" s="782"/>
      <c r="HVX12" s="777"/>
      <c r="HVY12" s="778"/>
      <c r="HVZ12" s="779"/>
      <c r="HWA12" s="780"/>
      <c r="HWB12" s="781"/>
      <c r="HWC12" s="782"/>
      <c r="HWD12" s="782"/>
      <c r="HWE12" s="777"/>
      <c r="HWF12" s="778"/>
      <c r="HWG12" s="779"/>
      <c r="HWH12" s="780"/>
      <c r="HWI12" s="781"/>
      <c r="HWJ12" s="782"/>
      <c r="HWK12" s="782"/>
      <c r="HWL12" s="777"/>
      <c r="HWM12" s="778"/>
      <c r="HWN12" s="779"/>
      <c r="HWO12" s="780"/>
      <c r="HWP12" s="781"/>
      <c r="HWQ12" s="782"/>
      <c r="HWR12" s="782"/>
      <c r="HWS12" s="777"/>
      <c r="HWT12" s="778"/>
      <c r="HWU12" s="779"/>
      <c r="HWV12" s="780"/>
      <c r="HWW12" s="781"/>
      <c r="HWX12" s="782"/>
      <c r="HWY12" s="782"/>
      <c r="HWZ12" s="777"/>
      <c r="HXA12" s="778"/>
      <c r="HXB12" s="779"/>
      <c r="HXC12" s="780"/>
      <c r="HXD12" s="781"/>
      <c r="HXE12" s="782"/>
      <c r="HXF12" s="782"/>
      <c r="HXG12" s="777"/>
      <c r="HXH12" s="778"/>
      <c r="HXI12" s="779"/>
      <c r="HXJ12" s="780"/>
      <c r="HXK12" s="781"/>
      <c r="HXL12" s="782"/>
      <c r="HXM12" s="782"/>
      <c r="HXN12" s="777"/>
      <c r="HXO12" s="778"/>
      <c r="HXP12" s="779"/>
      <c r="HXQ12" s="780"/>
      <c r="HXR12" s="781"/>
      <c r="HXS12" s="782"/>
      <c r="HXT12" s="782"/>
      <c r="HXU12" s="777"/>
      <c r="HXV12" s="778"/>
      <c r="HXW12" s="779"/>
      <c r="HXX12" s="780"/>
      <c r="HXY12" s="781"/>
      <c r="HXZ12" s="782"/>
      <c r="HYA12" s="782"/>
      <c r="HYB12" s="777"/>
      <c r="HYC12" s="778"/>
      <c r="HYD12" s="779"/>
      <c r="HYE12" s="780"/>
      <c r="HYF12" s="781"/>
      <c r="HYG12" s="782"/>
      <c r="HYH12" s="782"/>
      <c r="HYI12" s="777"/>
      <c r="HYJ12" s="778"/>
      <c r="HYK12" s="779"/>
      <c r="HYL12" s="780"/>
      <c r="HYM12" s="781"/>
      <c r="HYN12" s="782"/>
      <c r="HYO12" s="782"/>
      <c r="HYP12" s="777"/>
      <c r="HYQ12" s="778"/>
      <c r="HYR12" s="779"/>
      <c r="HYS12" s="780"/>
      <c r="HYT12" s="781"/>
      <c r="HYU12" s="782"/>
      <c r="HYV12" s="782"/>
      <c r="HYW12" s="777"/>
      <c r="HYX12" s="778"/>
      <c r="HYY12" s="779"/>
      <c r="HYZ12" s="780"/>
      <c r="HZA12" s="781"/>
      <c r="HZB12" s="782"/>
      <c r="HZC12" s="782"/>
      <c r="HZD12" s="777"/>
      <c r="HZE12" s="778"/>
      <c r="HZF12" s="779"/>
      <c r="HZG12" s="780"/>
      <c r="HZH12" s="781"/>
      <c r="HZI12" s="782"/>
      <c r="HZJ12" s="782"/>
      <c r="HZK12" s="777"/>
      <c r="HZL12" s="778"/>
      <c r="HZM12" s="779"/>
      <c r="HZN12" s="780"/>
      <c r="HZO12" s="781"/>
      <c r="HZP12" s="782"/>
      <c r="HZQ12" s="782"/>
      <c r="HZR12" s="777"/>
      <c r="HZS12" s="778"/>
      <c r="HZT12" s="779"/>
      <c r="HZU12" s="780"/>
      <c r="HZV12" s="781"/>
      <c r="HZW12" s="782"/>
      <c r="HZX12" s="782"/>
      <c r="HZY12" s="777"/>
      <c r="HZZ12" s="778"/>
      <c r="IAA12" s="779"/>
      <c r="IAB12" s="780"/>
      <c r="IAC12" s="781"/>
      <c r="IAD12" s="782"/>
      <c r="IAE12" s="782"/>
      <c r="IAF12" s="777"/>
      <c r="IAG12" s="778"/>
      <c r="IAH12" s="779"/>
      <c r="IAI12" s="780"/>
      <c r="IAJ12" s="781"/>
      <c r="IAK12" s="782"/>
      <c r="IAL12" s="782"/>
      <c r="IAM12" s="777"/>
      <c r="IAN12" s="778"/>
      <c r="IAO12" s="779"/>
      <c r="IAP12" s="780"/>
      <c r="IAQ12" s="781"/>
      <c r="IAR12" s="782"/>
      <c r="IAS12" s="782"/>
      <c r="IAT12" s="777"/>
      <c r="IAU12" s="778"/>
      <c r="IAV12" s="779"/>
      <c r="IAW12" s="780"/>
      <c r="IAX12" s="781"/>
      <c r="IAY12" s="782"/>
      <c r="IAZ12" s="782"/>
      <c r="IBA12" s="777"/>
      <c r="IBB12" s="778"/>
      <c r="IBC12" s="779"/>
      <c r="IBD12" s="780"/>
      <c r="IBE12" s="781"/>
      <c r="IBF12" s="782"/>
      <c r="IBG12" s="782"/>
      <c r="IBH12" s="777"/>
      <c r="IBI12" s="778"/>
      <c r="IBJ12" s="779"/>
      <c r="IBK12" s="780"/>
      <c r="IBL12" s="781"/>
      <c r="IBM12" s="782"/>
      <c r="IBN12" s="782"/>
      <c r="IBO12" s="777"/>
      <c r="IBP12" s="778"/>
      <c r="IBQ12" s="779"/>
      <c r="IBR12" s="780"/>
      <c r="IBS12" s="781"/>
      <c r="IBT12" s="782"/>
      <c r="IBU12" s="782"/>
      <c r="IBV12" s="777"/>
      <c r="IBW12" s="778"/>
      <c r="IBX12" s="779"/>
      <c r="IBY12" s="780"/>
      <c r="IBZ12" s="781"/>
      <c r="ICA12" s="782"/>
      <c r="ICB12" s="782"/>
      <c r="ICC12" s="777"/>
      <c r="ICD12" s="778"/>
      <c r="ICE12" s="779"/>
      <c r="ICF12" s="780"/>
      <c r="ICG12" s="781"/>
      <c r="ICH12" s="782"/>
      <c r="ICI12" s="782"/>
      <c r="ICJ12" s="777"/>
      <c r="ICK12" s="778"/>
      <c r="ICL12" s="779"/>
      <c r="ICM12" s="780"/>
      <c r="ICN12" s="781"/>
      <c r="ICO12" s="782"/>
      <c r="ICP12" s="782"/>
      <c r="ICQ12" s="777"/>
      <c r="ICR12" s="778"/>
      <c r="ICS12" s="779"/>
      <c r="ICT12" s="780"/>
      <c r="ICU12" s="781"/>
      <c r="ICV12" s="782"/>
      <c r="ICW12" s="782"/>
      <c r="ICX12" s="777"/>
      <c r="ICY12" s="778"/>
      <c r="ICZ12" s="779"/>
      <c r="IDA12" s="780"/>
      <c r="IDB12" s="781"/>
      <c r="IDC12" s="782"/>
      <c r="IDD12" s="782"/>
      <c r="IDE12" s="777"/>
      <c r="IDF12" s="778"/>
      <c r="IDG12" s="779"/>
      <c r="IDH12" s="780"/>
      <c r="IDI12" s="781"/>
      <c r="IDJ12" s="782"/>
      <c r="IDK12" s="782"/>
      <c r="IDL12" s="777"/>
      <c r="IDM12" s="778"/>
      <c r="IDN12" s="779"/>
      <c r="IDO12" s="780"/>
      <c r="IDP12" s="781"/>
      <c r="IDQ12" s="782"/>
      <c r="IDR12" s="782"/>
      <c r="IDS12" s="777"/>
      <c r="IDT12" s="778"/>
      <c r="IDU12" s="779"/>
      <c r="IDV12" s="780"/>
      <c r="IDW12" s="781"/>
      <c r="IDX12" s="782"/>
      <c r="IDY12" s="782"/>
      <c r="IDZ12" s="777"/>
      <c r="IEA12" s="778"/>
      <c r="IEB12" s="779"/>
      <c r="IEC12" s="780"/>
      <c r="IED12" s="781"/>
      <c r="IEE12" s="782"/>
      <c r="IEF12" s="782"/>
      <c r="IEG12" s="777"/>
      <c r="IEH12" s="778"/>
      <c r="IEI12" s="779"/>
      <c r="IEJ12" s="780"/>
      <c r="IEK12" s="781"/>
      <c r="IEL12" s="782"/>
      <c r="IEM12" s="782"/>
      <c r="IEN12" s="777"/>
      <c r="IEO12" s="778"/>
      <c r="IEP12" s="779"/>
      <c r="IEQ12" s="780"/>
      <c r="IER12" s="781"/>
      <c r="IES12" s="782"/>
      <c r="IET12" s="782"/>
      <c r="IEU12" s="777"/>
      <c r="IEV12" s="778"/>
      <c r="IEW12" s="779"/>
      <c r="IEX12" s="780"/>
      <c r="IEY12" s="781"/>
      <c r="IEZ12" s="782"/>
      <c r="IFA12" s="782"/>
      <c r="IFB12" s="777"/>
      <c r="IFC12" s="778"/>
      <c r="IFD12" s="779"/>
      <c r="IFE12" s="780"/>
      <c r="IFF12" s="781"/>
      <c r="IFG12" s="782"/>
      <c r="IFH12" s="782"/>
      <c r="IFI12" s="777"/>
      <c r="IFJ12" s="778"/>
      <c r="IFK12" s="779"/>
      <c r="IFL12" s="780"/>
      <c r="IFM12" s="781"/>
      <c r="IFN12" s="782"/>
      <c r="IFO12" s="782"/>
      <c r="IFP12" s="777"/>
      <c r="IFQ12" s="778"/>
      <c r="IFR12" s="779"/>
      <c r="IFS12" s="780"/>
      <c r="IFT12" s="781"/>
      <c r="IFU12" s="782"/>
      <c r="IFV12" s="782"/>
      <c r="IFW12" s="777"/>
      <c r="IFX12" s="778"/>
      <c r="IFY12" s="779"/>
      <c r="IFZ12" s="780"/>
      <c r="IGA12" s="781"/>
      <c r="IGB12" s="782"/>
      <c r="IGC12" s="782"/>
      <c r="IGD12" s="777"/>
      <c r="IGE12" s="778"/>
      <c r="IGF12" s="779"/>
      <c r="IGG12" s="780"/>
      <c r="IGH12" s="781"/>
      <c r="IGI12" s="782"/>
      <c r="IGJ12" s="782"/>
      <c r="IGK12" s="777"/>
      <c r="IGL12" s="778"/>
      <c r="IGM12" s="779"/>
      <c r="IGN12" s="780"/>
      <c r="IGO12" s="781"/>
      <c r="IGP12" s="782"/>
      <c r="IGQ12" s="782"/>
      <c r="IGR12" s="777"/>
      <c r="IGS12" s="778"/>
      <c r="IGT12" s="779"/>
      <c r="IGU12" s="780"/>
      <c r="IGV12" s="781"/>
      <c r="IGW12" s="782"/>
      <c r="IGX12" s="782"/>
      <c r="IGY12" s="777"/>
      <c r="IGZ12" s="778"/>
      <c r="IHA12" s="779"/>
      <c r="IHB12" s="780"/>
      <c r="IHC12" s="781"/>
      <c r="IHD12" s="782"/>
      <c r="IHE12" s="782"/>
      <c r="IHF12" s="777"/>
      <c r="IHG12" s="778"/>
      <c r="IHH12" s="779"/>
      <c r="IHI12" s="780"/>
      <c r="IHJ12" s="781"/>
      <c r="IHK12" s="782"/>
      <c r="IHL12" s="782"/>
      <c r="IHM12" s="777"/>
      <c r="IHN12" s="778"/>
      <c r="IHO12" s="779"/>
      <c r="IHP12" s="780"/>
      <c r="IHQ12" s="781"/>
      <c r="IHR12" s="782"/>
      <c r="IHS12" s="782"/>
      <c r="IHT12" s="777"/>
      <c r="IHU12" s="778"/>
      <c r="IHV12" s="779"/>
      <c r="IHW12" s="780"/>
      <c r="IHX12" s="781"/>
      <c r="IHY12" s="782"/>
      <c r="IHZ12" s="782"/>
      <c r="IIA12" s="777"/>
      <c r="IIB12" s="778"/>
      <c r="IIC12" s="779"/>
      <c r="IID12" s="780"/>
      <c r="IIE12" s="781"/>
      <c r="IIF12" s="782"/>
      <c r="IIG12" s="782"/>
      <c r="IIH12" s="777"/>
      <c r="III12" s="778"/>
      <c r="IIJ12" s="779"/>
      <c r="IIK12" s="780"/>
      <c r="IIL12" s="781"/>
      <c r="IIM12" s="782"/>
      <c r="IIN12" s="782"/>
      <c r="IIO12" s="777"/>
      <c r="IIP12" s="778"/>
      <c r="IIQ12" s="779"/>
      <c r="IIR12" s="780"/>
      <c r="IIS12" s="781"/>
      <c r="IIT12" s="782"/>
      <c r="IIU12" s="782"/>
      <c r="IIV12" s="777"/>
      <c r="IIW12" s="778"/>
      <c r="IIX12" s="779"/>
      <c r="IIY12" s="780"/>
      <c r="IIZ12" s="781"/>
      <c r="IJA12" s="782"/>
      <c r="IJB12" s="782"/>
      <c r="IJC12" s="777"/>
      <c r="IJD12" s="778"/>
      <c r="IJE12" s="779"/>
      <c r="IJF12" s="780"/>
      <c r="IJG12" s="781"/>
      <c r="IJH12" s="782"/>
      <c r="IJI12" s="782"/>
      <c r="IJJ12" s="777"/>
      <c r="IJK12" s="778"/>
      <c r="IJL12" s="779"/>
      <c r="IJM12" s="780"/>
      <c r="IJN12" s="781"/>
      <c r="IJO12" s="782"/>
      <c r="IJP12" s="782"/>
      <c r="IJQ12" s="777"/>
      <c r="IJR12" s="778"/>
      <c r="IJS12" s="779"/>
      <c r="IJT12" s="780"/>
      <c r="IJU12" s="781"/>
      <c r="IJV12" s="782"/>
      <c r="IJW12" s="782"/>
      <c r="IJX12" s="777"/>
      <c r="IJY12" s="778"/>
      <c r="IJZ12" s="779"/>
      <c r="IKA12" s="780"/>
      <c r="IKB12" s="781"/>
      <c r="IKC12" s="782"/>
      <c r="IKD12" s="782"/>
      <c r="IKE12" s="777"/>
      <c r="IKF12" s="778"/>
      <c r="IKG12" s="779"/>
      <c r="IKH12" s="780"/>
      <c r="IKI12" s="781"/>
      <c r="IKJ12" s="782"/>
      <c r="IKK12" s="782"/>
      <c r="IKL12" s="777"/>
      <c r="IKM12" s="778"/>
      <c r="IKN12" s="779"/>
      <c r="IKO12" s="780"/>
      <c r="IKP12" s="781"/>
      <c r="IKQ12" s="782"/>
      <c r="IKR12" s="782"/>
      <c r="IKS12" s="777"/>
      <c r="IKT12" s="778"/>
      <c r="IKU12" s="779"/>
      <c r="IKV12" s="780"/>
      <c r="IKW12" s="781"/>
      <c r="IKX12" s="782"/>
      <c r="IKY12" s="782"/>
      <c r="IKZ12" s="777"/>
      <c r="ILA12" s="778"/>
      <c r="ILB12" s="779"/>
      <c r="ILC12" s="780"/>
      <c r="ILD12" s="781"/>
      <c r="ILE12" s="782"/>
      <c r="ILF12" s="782"/>
      <c r="ILG12" s="777"/>
      <c r="ILH12" s="778"/>
      <c r="ILI12" s="779"/>
      <c r="ILJ12" s="780"/>
      <c r="ILK12" s="781"/>
      <c r="ILL12" s="782"/>
      <c r="ILM12" s="782"/>
      <c r="ILN12" s="777"/>
      <c r="ILO12" s="778"/>
      <c r="ILP12" s="779"/>
      <c r="ILQ12" s="780"/>
      <c r="ILR12" s="781"/>
      <c r="ILS12" s="782"/>
      <c r="ILT12" s="782"/>
      <c r="ILU12" s="777"/>
      <c r="ILV12" s="778"/>
      <c r="ILW12" s="779"/>
      <c r="ILX12" s="780"/>
      <c r="ILY12" s="781"/>
      <c r="ILZ12" s="782"/>
      <c r="IMA12" s="782"/>
      <c r="IMB12" s="777"/>
      <c r="IMC12" s="778"/>
      <c r="IMD12" s="779"/>
      <c r="IME12" s="780"/>
      <c r="IMF12" s="781"/>
      <c r="IMG12" s="782"/>
      <c r="IMH12" s="782"/>
      <c r="IMI12" s="777"/>
      <c r="IMJ12" s="778"/>
      <c r="IMK12" s="779"/>
      <c r="IML12" s="780"/>
      <c r="IMM12" s="781"/>
      <c r="IMN12" s="782"/>
      <c r="IMO12" s="782"/>
      <c r="IMP12" s="777"/>
      <c r="IMQ12" s="778"/>
      <c r="IMR12" s="779"/>
      <c r="IMS12" s="780"/>
      <c r="IMT12" s="781"/>
      <c r="IMU12" s="782"/>
      <c r="IMV12" s="782"/>
      <c r="IMW12" s="777"/>
      <c r="IMX12" s="778"/>
      <c r="IMY12" s="779"/>
      <c r="IMZ12" s="780"/>
      <c r="INA12" s="781"/>
      <c r="INB12" s="782"/>
      <c r="INC12" s="782"/>
      <c r="IND12" s="777"/>
      <c r="INE12" s="778"/>
      <c r="INF12" s="779"/>
      <c r="ING12" s="780"/>
      <c r="INH12" s="781"/>
      <c r="INI12" s="782"/>
      <c r="INJ12" s="782"/>
      <c r="INK12" s="777"/>
      <c r="INL12" s="778"/>
      <c r="INM12" s="779"/>
      <c r="INN12" s="780"/>
      <c r="INO12" s="781"/>
      <c r="INP12" s="782"/>
      <c r="INQ12" s="782"/>
      <c r="INR12" s="777"/>
      <c r="INS12" s="778"/>
      <c r="INT12" s="779"/>
      <c r="INU12" s="780"/>
      <c r="INV12" s="781"/>
      <c r="INW12" s="782"/>
      <c r="INX12" s="782"/>
      <c r="INY12" s="777"/>
      <c r="INZ12" s="778"/>
      <c r="IOA12" s="779"/>
      <c r="IOB12" s="780"/>
      <c r="IOC12" s="781"/>
      <c r="IOD12" s="782"/>
      <c r="IOE12" s="782"/>
      <c r="IOF12" s="777"/>
      <c r="IOG12" s="778"/>
      <c r="IOH12" s="779"/>
      <c r="IOI12" s="780"/>
      <c r="IOJ12" s="781"/>
      <c r="IOK12" s="782"/>
      <c r="IOL12" s="782"/>
      <c r="IOM12" s="777"/>
      <c r="ION12" s="778"/>
      <c r="IOO12" s="779"/>
      <c r="IOP12" s="780"/>
      <c r="IOQ12" s="781"/>
      <c r="IOR12" s="782"/>
      <c r="IOS12" s="782"/>
      <c r="IOT12" s="777"/>
      <c r="IOU12" s="778"/>
      <c r="IOV12" s="779"/>
      <c r="IOW12" s="780"/>
      <c r="IOX12" s="781"/>
      <c r="IOY12" s="782"/>
      <c r="IOZ12" s="782"/>
      <c r="IPA12" s="777"/>
      <c r="IPB12" s="778"/>
      <c r="IPC12" s="779"/>
      <c r="IPD12" s="780"/>
      <c r="IPE12" s="781"/>
      <c r="IPF12" s="782"/>
      <c r="IPG12" s="782"/>
      <c r="IPH12" s="777"/>
      <c r="IPI12" s="778"/>
      <c r="IPJ12" s="779"/>
      <c r="IPK12" s="780"/>
      <c r="IPL12" s="781"/>
      <c r="IPM12" s="782"/>
      <c r="IPN12" s="782"/>
      <c r="IPO12" s="777"/>
      <c r="IPP12" s="778"/>
      <c r="IPQ12" s="779"/>
      <c r="IPR12" s="780"/>
      <c r="IPS12" s="781"/>
      <c r="IPT12" s="782"/>
      <c r="IPU12" s="782"/>
      <c r="IPV12" s="777"/>
      <c r="IPW12" s="778"/>
      <c r="IPX12" s="779"/>
      <c r="IPY12" s="780"/>
      <c r="IPZ12" s="781"/>
      <c r="IQA12" s="782"/>
      <c r="IQB12" s="782"/>
      <c r="IQC12" s="777"/>
      <c r="IQD12" s="778"/>
      <c r="IQE12" s="779"/>
      <c r="IQF12" s="780"/>
      <c r="IQG12" s="781"/>
      <c r="IQH12" s="782"/>
      <c r="IQI12" s="782"/>
      <c r="IQJ12" s="777"/>
      <c r="IQK12" s="778"/>
      <c r="IQL12" s="779"/>
      <c r="IQM12" s="780"/>
      <c r="IQN12" s="781"/>
      <c r="IQO12" s="782"/>
      <c r="IQP12" s="782"/>
      <c r="IQQ12" s="777"/>
      <c r="IQR12" s="778"/>
      <c r="IQS12" s="779"/>
      <c r="IQT12" s="780"/>
      <c r="IQU12" s="781"/>
      <c r="IQV12" s="782"/>
      <c r="IQW12" s="782"/>
      <c r="IQX12" s="777"/>
      <c r="IQY12" s="778"/>
      <c r="IQZ12" s="779"/>
      <c r="IRA12" s="780"/>
      <c r="IRB12" s="781"/>
      <c r="IRC12" s="782"/>
      <c r="IRD12" s="782"/>
      <c r="IRE12" s="777"/>
      <c r="IRF12" s="778"/>
      <c r="IRG12" s="779"/>
      <c r="IRH12" s="780"/>
      <c r="IRI12" s="781"/>
      <c r="IRJ12" s="782"/>
      <c r="IRK12" s="782"/>
      <c r="IRL12" s="777"/>
      <c r="IRM12" s="778"/>
      <c r="IRN12" s="779"/>
      <c r="IRO12" s="780"/>
      <c r="IRP12" s="781"/>
      <c r="IRQ12" s="782"/>
      <c r="IRR12" s="782"/>
      <c r="IRS12" s="777"/>
      <c r="IRT12" s="778"/>
      <c r="IRU12" s="779"/>
      <c r="IRV12" s="780"/>
      <c r="IRW12" s="781"/>
      <c r="IRX12" s="782"/>
      <c r="IRY12" s="782"/>
      <c r="IRZ12" s="777"/>
      <c r="ISA12" s="778"/>
      <c r="ISB12" s="779"/>
      <c r="ISC12" s="780"/>
      <c r="ISD12" s="781"/>
      <c r="ISE12" s="782"/>
      <c r="ISF12" s="782"/>
      <c r="ISG12" s="777"/>
      <c r="ISH12" s="778"/>
      <c r="ISI12" s="779"/>
      <c r="ISJ12" s="780"/>
      <c r="ISK12" s="781"/>
      <c r="ISL12" s="782"/>
      <c r="ISM12" s="782"/>
      <c r="ISN12" s="777"/>
      <c r="ISO12" s="778"/>
      <c r="ISP12" s="779"/>
      <c r="ISQ12" s="780"/>
      <c r="ISR12" s="781"/>
      <c r="ISS12" s="782"/>
      <c r="IST12" s="782"/>
      <c r="ISU12" s="777"/>
      <c r="ISV12" s="778"/>
      <c r="ISW12" s="779"/>
      <c r="ISX12" s="780"/>
      <c r="ISY12" s="781"/>
      <c r="ISZ12" s="782"/>
      <c r="ITA12" s="782"/>
      <c r="ITB12" s="777"/>
      <c r="ITC12" s="778"/>
      <c r="ITD12" s="779"/>
      <c r="ITE12" s="780"/>
      <c r="ITF12" s="781"/>
      <c r="ITG12" s="782"/>
      <c r="ITH12" s="782"/>
      <c r="ITI12" s="777"/>
      <c r="ITJ12" s="778"/>
      <c r="ITK12" s="779"/>
      <c r="ITL12" s="780"/>
      <c r="ITM12" s="781"/>
      <c r="ITN12" s="782"/>
      <c r="ITO12" s="782"/>
      <c r="ITP12" s="777"/>
      <c r="ITQ12" s="778"/>
      <c r="ITR12" s="779"/>
      <c r="ITS12" s="780"/>
      <c r="ITT12" s="781"/>
      <c r="ITU12" s="782"/>
      <c r="ITV12" s="782"/>
      <c r="ITW12" s="777"/>
      <c r="ITX12" s="778"/>
      <c r="ITY12" s="779"/>
      <c r="ITZ12" s="780"/>
      <c r="IUA12" s="781"/>
      <c r="IUB12" s="782"/>
      <c r="IUC12" s="782"/>
      <c r="IUD12" s="777"/>
      <c r="IUE12" s="778"/>
      <c r="IUF12" s="779"/>
      <c r="IUG12" s="780"/>
      <c r="IUH12" s="781"/>
      <c r="IUI12" s="782"/>
      <c r="IUJ12" s="782"/>
      <c r="IUK12" s="777"/>
      <c r="IUL12" s="778"/>
      <c r="IUM12" s="779"/>
      <c r="IUN12" s="780"/>
      <c r="IUO12" s="781"/>
      <c r="IUP12" s="782"/>
      <c r="IUQ12" s="782"/>
      <c r="IUR12" s="777"/>
      <c r="IUS12" s="778"/>
      <c r="IUT12" s="779"/>
      <c r="IUU12" s="780"/>
      <c r="IUV12" s="781"/>
      <c r="IUW12" s="782"/>
      <c r="IUX12" s="782"/>
      <c r="IUY12" s="777"/>
      <c r="IUZ12" s="778"/>
      <c r="IVA12" s="779"/>
      <c r="IVB12" s="780"/>
      <c r="IVC12" s="781"/>
      <c r="IVD12" s="782"/>
      <c r="IVE12" s="782"/>
      <c r="IVF12" s="777"/>
      <c r="IVG12" s="778"/>
      <c r="IVH12" s="779"/>
      <c r="IVI12" s="780"/>
      <c r="IVJ12" s="781"/>
      <c r="IVK12" s="782"/>
      <c r="IVL12" s="782"/>
      <c r="IVM12" s="777"/>
      <c r="IVN12" s="778"/>
      <c r="IVO12" s="779"/>
      <c r="IVP12" s="780"/>
      <c r="IVQ12" s="781"/>
      <c r="IVR12" s="782"/>
      <c r="IVS12" s="782"/>
      <c r="IVT12" s="777"/>
      <c r="IVU12" s="778"/>
      <c r="IVV12" s="779"/>
      <c r="IVW12" s="780"/>
      <c r="IVX12" s="781"/>
      <c r="IVY12" s="782"/>
      <c r="IVZ12" s="782"/>
      <c r="IWA12" s="777"/>
      <c r="IWB12" s="778"/>
      <c r="IWC12" s="779"/>
      <c r="IWD12" s="780"/>
      <c r="IWE12" s="781"/>
      <c r="IWF12" s="782"/>
      <c r="IWG12" s="782"/>
      <c r="IWH12" s="777"/>
      <c r="IWI12" s="778"/>
      <c r="IWJ12" s="779"/>
      <c r="IWK12" s="780"/>
      <c r="IWL12" s="781"/>
      <c r="IWM12" s="782"/>
      <c r="IWN12" s="782"/>
      <c r="IWO12" s="777"/>
      <c r="IWP12" s="778"/>
      <c r="IWQ12" s="779"/>
      <c r="IWR12" s="780"/>
      <c r="IWS12" s="781"/>
      <c r="IWT12" s="782"/>
      <c r="IWU12" s="782"/>
      <c r="IWV12" s="777"/>
      <c r="IWW12" s="778"/>
      <c r="IWX12" s="779"/>
      <c r="IWY12" s="780"/>
      <c r="IWZ12" s="781"/>
      <c r="IXA12" s="782"/>
      <c r="IXB12" s="782"/>
      <c r="IXC12" s="777"/>
      <c r="IXD12" s="778"/>
      <c r="IXE12" s="779"/>
      <c r="IXF12" s="780"/>
      <c r="IXG12" s="781"/>
      <c r="IXH12" s="782"/>
      <c r="IXI12" s="782"/>
      <c r="IXJ12" s="777"/>
      <c r="IXK12" s="778"/>
      <c r="IXL12" s="779"/>
      <c r="IXM12" s="780"/>
      <c r="IXN12" s="781"/>
      <c r="IXO12" s="782"/>
      <c r="IXP12" s="782"/>
      <c r="IXQ12" s="777"/>
      <c r="IXR12" s="778"/>
      <c r="IXS12" s="779"/>
      <c r="IXT12" s="780"/>
      <c r="IXU12" s="781"/>
      <c r="IXV12" s="782"/>
      <c r="IXW12" s="782"/>
      <c r="IXX12" s="777"/>
      <c r="IXY12" s="778"/>
      <c r="IXZ12" s="779"/>
      <c r="IYA12" s="780"/>
      <c r="IYB12" s="781"/>
      <c r="IYC12" s="782"/>
      <c r="IYD12" s="782"/>
      <c r="IYE12" s="777"/>
      <c r="IYF12" s="778"/>
      <c r="IYG12" s="779"/>
      <c r="IYH12" s="780"/>
      <c r="IYI12" s="781"/>
      <c r="IYJ12" s="782"/>
      <c r="IYK12" s="782"/>
      <c r="IYL12" s="777"/>
      <c r="IYM12" s="778"/>
      <c r="IYN12" s="779"/>
      <c r="IYO12" s="780"/>
      <c r="IYP12" s="781"/>
      <c r="IYQ12" s="782"/>
      <c r="IYR12" s="782"/>
      <c r="IYS12" s="777"/>
      <c r="IYT12" s="778"/>
      <c r="IYU12" s="779"/>
      <c r="IYV12" s="780"/>
      <c r="IYW12" s="781"/>
      <c r="IYX12" s="782"/>
      <c r="IYY12" s="782"/>
      <c r="IYZ12" s="777"/>
      <c r="IZA12" s="778"/>
      <c r="IZB12" s="779"/>
      <c r="IZC12" s="780"/>
      <c r="IZD12" s="781"/>
      <c r="IZE12" s="782"/>
      <c r="IZF12" s="782"/>
      <c r="IZG12" s="777"/>
      <c r="IZH12" s="778"/>
      <c r="IZI12" s="779"/>
      <c r="IZJ12" s="780"/>
      <c r="IZK12" s="781"/>
      <c r="IZL12" s="782"/>
      <c r="IZM12" s="782"/>
      <c r="IZN12" s="777"/>
      <c r="IZO12" s="778"/>
      <c r="IZP12" s="779"/>
      <c r="IZQ12" s="780"/>
      <c r="IZR12" s="781"/>
      <c r="IZS12" s="782"/>
      <c r="IZT12" s="782"/>
      <c r="IZU12" s="777"/>
      <c r="IZV12" s="778"/>
      <c r="IZW12" s="779"/>
      <c r="IZX12" s="780"/>
      <c r="IZY12" s="781"/>
      <c r="IZZ12" s="782"/>
      <c r="JAA12" s="782"/>
      <c r="JAB12" s="777"/>
      <c r="JAC12" s="778"/>
      <c r="JAD12" s="779"/>
      <c r="JAE12" s="780"/>
      <c r="JAF12" s="781"/>
      <c r="JAG12" s="782"/>
      <c r="JAH12" s="782"/>
      <c r="JAI12" s="777"/>
      <c r="JAJ12" s="778"/>
      <c r="JAK12" s="779"/>
      <c r="JAL12" s="780"/>
      <c r="JAM12" s="781"/>
      <c r="JAN12" s="782"/>
      <c r="JAO12" s="782"/>
      <c r="JAP12" s="777"/>
      <c r="JAQ12" s="778"/>
      <c r="JAR12" s="779"/>
      <c r="JAS12" s="780"/>
      <c r="JAT12" s="781"/>
      <c r="JAU12" s="782"/>
      <c r="JAV12" s="782"/>
      <c r="JAW12" s="777"/>
      <c r="JAX12" s="778"/>
      <c r="JAY12" s="779"/>
      <c r="JAZ12" s="780"/>
      <c r="JBA12" s="781"/>
      <c r="JBB12" s="782"/>
      <c r="JBC12" s="782"/>
      <c r="JBD12" s="777"/>
      <c r="JBE12" s="778"/>
      <c r="JBF12" s="779"/>
      <c r="JBG12" s="780"/>
      <c r="JBH12" s="781"/>
      <c r="JBI12" s="782"/>
      <c r="JBJ12" s="782"/>
      <c r="JBK12" s="777"/>
      <c r="JBL12" s="778"/>
      <c r="JBM12" s="779"/>
      <c r="JBN12" s="780"/>
      <c r="JBO12" s="781"/>
      <c r="JBP12" s="782"/>
      <c r="JBQ12" s="782"/>
      <c r="JBR12" s="777"/>
      <c r="JBS12" s="778"/>
      <c r="JBT12" s="779"/>
      <c r="JBU12" s="780"/>
      <c r="JBV12" s="781"/>
      <c r="JBW12" s="782"/>
      <c r="JBX12" s="782"/>
      <c r="JBY12" s="777"/>
      <c r="JBZ12" s="778"/>
      <c r="JCA12" s="779"/>
      <c r="JCB12" s="780"/>
      <c r="JCC12" s="781"/>
      <c r="JCD12" s="782"/>
      <c r="JCE12" s="782"/>
      <c r="JCF12" s="777"/>
      <c r="JCG12" s="778"/>
      <c r="JCH12" s="779"/>
      <c r="JCI12" s="780"/>
      <c r="JCJ12" s="781"/>
      <c r="JCK12" s="782"/>
      <c r="JCL12" s="782"/>
      <c r="JCM12" s="777"/>
      <c r="JCN12" s="778"/>
      <c r="JCO12" s="779"/>
      <c r="JCP12" s="780"/>
      <c r="JCQ12" s="781"/>
      <c r="JCR12" s="782"/>
      <c r="JCS12" s="782"/>
      <c r="JCT12" s="777"/>
      <c r="JCU12" s="778"/>
      <c r="JCV12" s="779"/>
      <c r="JCW12" s="780"/>
      <c r="JCX12" s="781"/>
      <c r="JCY12" s="782"/>
      <c r="JCZ12" s="782"/>
      <c r="JDA12" s="777"/>
      <c r="JDB12" s="778"/>
      <c r="JDC12" s="779"/>
      <c r="JDD12" s="780"/>
      <c r="JDE12" s="781"/>
      <c r="JDF12" s="782"/>
      <c r="JDG12" s="782"/>
      <c r="JDH12" s="777"/>
      <c r="JDI12" s="778"/>
      <c r="JDJ12" s="779"/>
      <c r="JDK12" s="780"/>
      <c r="JDL12" s="781"/>
      <c r="JDM12" s="782"/>
      <c r="JDN12" s="782"/>
      <c r="JDO12" s="777"/>
      <c r="JDP12" s="778"/>
      <c r="JDQ12" s="779"/>
      <c r="JDR12" s="780"/>
      <c r="JDS12" s="781"/>
      <c r="JDT12" s="782"/>
      <c r="JDU12" s="782"/>
      <c r="JDV12" s="777"/>
      <c r="JDW12" s="778"/>
      <c r="JDX12" s="779"/>
      <c r="JDY12" s="780"/>
      <c r="JDZ12" s="781"/>
      <c r="JEA12" s="782"/>
      <c r="JEB12" s="782"/>
      <c r="JEC12" s="777"/>
      <c r="JED12" s="778"/>
      <c r="JEE12" s="779"/>
      <c r="JEF12" s="780"/>
      <c r="JEG12" s="781"/>
      <c r="JEH12" s="782"/>
      <c r="JEI12" s="782"/>
      <c r="JEJ12" s="777"/>
      <c r="JEK12" s="778"/>
      <c r="JEL12" s="779"/>
      <c r="JEM12" s="780"/>
      <c r="JEN12" s="781"/>
      <c r="JEO12" s="782"/>
      <c r="JEP12" s="782"/>
      <c r="JEQ12" s="777"/>
      <c r="JER12" s="778"/>
      <c r="JES12" s="779"/>
      <c r="JET12" s="780"/>
      <c r="JEU12" s="781"/>
      <c r="JEV12" s="782"/>
      <c r="JEW12" s="782"/>
      <c r="JEX12" s="777"/>
      <c r="JEY12" s="778"/>
      <c r="JEZ12" s="779"/>
      <c r="JFA12" s="780"/>
      <c r="JFB12" s="781"/>
      <c r="JFC12" s="782"/>
      <c r="JFD12" s="782"/>
      <c r="JFE12" s="777"/>
      <c r="JFF12" s="778"/>
      <c r="JFG12" s="779"/>
      <c r="JFH12" s="780"/>
      <c r="JFI12" s="781"/>
      <c r="JFJ12" s="782"/>
      <c r="JFK12" s="782"/>
      <c r="JFL12" s="777"/>
      <c r="JFM12" s="778"/>
      <c r="JFN12" s="779"/>
      <c r="JFO12" s="780"/>
      <c r="JFP12" s="781"/>
      <c r="JFQ12" s="782"/>
      <c r="JFR12" s="782"/>
      <c r="JFS12" s="777"/>
      <c r="JFT12" s="778"/>
      <c r="JFU12" s="779"/>
      <c r="JFV12" s="780"/>
      <c r="JFW12" s="781"/>
      <c r="JFX12" s="782"/>
      <c r="JFY12" s="782"/>
      <c r="JFZ12" s="777"/>
      <c r="JGA12" s="778"/>
      <c r="JGB12" s="779"/>
      <c r="JGC12" s="780"/>
      <c r="JGD12" s="781"/>
      <c r="JGE12" s="782"/>
      <c r="JGF12" s="782"/>
      <c r="JGG12" s="777"/>
      <c r="JGH12" s="778"/>
      <c r="JGI12" s="779"/>
      <c r="JGJ12" s="780"/>
      <c r="JGK12" s="781"/>
      <c r="JGL12" s="782"/>
      <c r="JGM12" s="782"/>
      <c r="JGN12" s="777"/>
      <c r="JGO12" s="778"/>
      <c r="JGP12" s="779"/>
      <c r="JGQ12" s="780"/>
      <c r="JGR12" s="781"/>
      <c r="JGS12" s="782"/>
      <c r="JGT12" s="782"/>
      <c r="JGU12" s="777"/>
      <c r="JGV12" s="778"/>
      <c r="JGW12" s="779"/>
      <c r="JGX12" s="780"/>
      <c r="JGY12" s="781"/>
      <c r="JGZ12" s="782"/>
      <c r="JHA12" s="782"/>
      <c r="JHB12" s="777"/>
      <c r="JHC12" s="778"/>
      <c r="JHD12" s="779"/>
      <c r="JHE12" s="780"/>
      <c r="JHF12" s="781"/>
      <c r="JHG12" s="782"/>
      <c r="JHH12" s="782"/>
      <c r="JHI12" s="777"/>
      <c r="JHJ12" s="778"/>
      <c r="JHK12" s="779"/>
      <c r="JHL12" s="780"/>
      <c r="JHM12" s="781"/>
      <c r="JHN12" s="782"/>
      <c r="JHO12" s="782"/>
      <c r="JHP12" s="777"/>
      <c r="JHQ12" s="778"/>
      <c r="JHR12" s="779"/>
      <c r="JHS12" s="780"/>
      <c r="JHT12" s="781"/>
      <c r="JHU12" s="782"/>
      <c r="JHV12" s="782"/>
      <c r="JHW12" s="777"/>
      <c r="JHX12" s="778"/>
      <c r="JHY12" s="779"/>
      <c r="JHZ12" s="780"/>
      <c r="JIA12" s="781"/>
      <c r="JIB12" s="782"/>
      <c r="JIC12" s="782"/>
      <c r="JID12" s="777"/>
      <c r="JIE12" s="778"/>
      <c r="JIF12" s="779"/>
      <c r="JIG12" s="780"/>
      <c r="JIH12" s="781"/>
      <c r="JII12" s="782"/>
      <c r="JIJ12" s="782"/>
      <c r="JIK12" s="777"/>
      <c r="JIL12" s="778"/>
      <c r="JIM12" s="779"/>
      <c r="JIN12" s="780"/>
      <c r="JIO12" s="781"/>
      <c r="JIP12" s="782"/>
      <c r="JIQ12" s="782"/>
      <c r="JIR12" s="777"/>
      <c r="JIS12" s="778"/>
      <c r="JIT12" s="779"/>
      <c r="JIU12" s="780"/>
      <c r="JIV12" s="781"/>
      <c r="JIW12" s="782"/>
      <c r="JIX12" s="782"/>
      <c r="JIY12" s="777"/>
      <c r="JIZ12" s="778"/>
      <c r="JJA12" s="779"/>
      <c r="JJB12" s="780"/>
      <c r="JJC12" s="781"/>
      <c r="JJD12" s="782"/>
      <c r="JJE12" s="782"/>
      <c r="JJF12" s="777"/>
      <c r="JJG12" s="778"/>
      <c r="JJH12" s="779"/>
      <c r="JJI12" s="780"/>
      <c r="JJJ12" s="781"/>
      <c r="JJK12" s="782"/>
      <c r="JJL12" s="782"/>
      <c r="JJM12" s="777"/>
      <c r="JJN12" s="778"/>
      <c r="JJO12" s="779"/>
      <c r="JJP12" s="780"/>
      <c r="JJQ12" s="781"/>
      <c r="JJR12" s="782"/>
      <c r="JJS12" s="782"/>
      <c r="JJT12" s="777"/>
      <c r="JJU12" s="778"/>
      <c r="JJV12" s="779"/>
      <c r="JJW12" s="780"/>
      <c r="JJX12" s="781"/>
      <c r="JJY12" s="782"/>
      <c r="JJZ12" s="782"/>
      <c r="JKA12" s="777"/>
      <c r="JKB12" s="778"/>
      <c r="JKC12" s="779"/>
      <c r="JKD12" s="780"/>
      <c r="JKE12" s="781"/>
      <c r="JKF12" s="782"/>
      <c r="JKG12" s="782"/>
      <c r="JKH12" s="777"/>
      <c r="JKI12" s="778"/>
      <c r="JKJ12" s="779"/>
      <c r="JKK12" s="780"/>
      <c r="JKL12" s="781"/>
      <c r="JKM12" s="782"/>
      <c r="JKN12" s="782"/>
      <c r="JKO12" s="777"/>
      <c r="JKP12" s="778"/>
      <c r="JKQ12" s="779"/>
      <c r="JKR12" s="780"/>
      <c r="JKS12" s="781"/>
      <c r="JKT12" s="782"/>
      <c r="JKU12" s="782"/>
      <c r="JKV12" s="777"/>
      <c r="JKW12" s="778"/>
      <c r="JKX12" s="779"/>
      <c r="JKY12" s="780"/>
      <c r="JKZ12" s="781"/>
      <c r="JLA12" s="782"/>
      <c r="JLB12" s="782"/>
      <c r="JLC12" s="777"/>
      <c r="JLD12" s="778"/>
      <c r="JLE12" s="779"/>
      <c r="JLF12" s="780"/>
      <c r="JLG12" s="781"/>
      <c r="JLH12" s="782"/>
      <c r="JLI12" s="782"/>
      <c r="JLJ12" s="777"/>
      <c r="JLK12" s="778"/>
      <c r="JLL12" s="779"/>
      <c r="JLM12" s="780"/>
      <c r="JLN12" s="781"/>
      <c r="JLO12" s="782"/>
      <c r="JLP12" s="782"/>
      <c r="JLQ12" s="777"/>
      <c r="JLR12" s="778"/>
      <c r="JLS12" s="779"/>
      <c r="JLT12" s="780"/>
      <c r="JLU12" s="781"/>
      <c r="JLV12" s="782"/>
      <c r="JLW12" s="782"/>
      <c r="JLX12" s="777"/>
      <c r="JLY12" s="778"/>
      <c r="JLZ12" s="779"/>
      <c r="JMA12" s="780"/>
      <c r="JMB12" s="781"/>
      <c r="JMC12" s="782"/>
      <c r="JMD12" s="782"/>
      <c r="JME12" s="777"/>
      <c r="JMF12" s="778"/>
      <c r="JMG12" s="779"/>
      <c r="JMH12" s="780"/>
      <c r="JMI12" s="781"/>
      <c r="JMJ12" s="782"/>
      <c r="JMK12" s="782"/>
      <c r="JML12" s="777"/>
      <c r="JMM12" s="778"/>
      <c r="JMN12" s="779"/>
      <c r="JMO12" s="780"/>
      <c r="JMP12" s="781"/>
      <c r="JMQ12" s="782"/>
      <c r="JMR12" s="782"/>
      <c r="JMS12" s="777"/>
      <c r="JMT12" s="778"/>
      <c r="JMU12" s="779"/>
      <c r="JMV12" s="780"/>
      <c r="JMW12" s="781"/>
      <c r="JMX12" s="782"/>
      <c r="JMY12" s="782"/>
      <c r="JMZ12" s="777"/>
      <c r="JNA12" s="778"/>
      <c r="JNB12" s="779"/>
      <c r="JNC12" s="780"/>
      <c r="JND12" s="781"/>
      <c r="JNE12" s="782"/>
      <c r="JNF12" s="782"/>
      <c r="JNG12" s="777"/>
      <c r="JNH12" s="778"/>
      <c r="JNI12" s="779"/>
      <c r="JNJ12" s="780"/>
      <c r="JNK12" s="781"/>
      <c r="JNL12" s="782"/>
      <c r="JNM12" s="782"/>
      <c r="JNN12" s="777"/>
      <c r="JNO12" s="778"/>
      <c r="JNP12" s="779"/>
      <c r="JNQ12" s="780"/>
      <c r="JNR12" s="781"/>
      <c r="JNS12" s="782"/>
      <c r="JNT12" s="782"/>
      <c r="JNU12" s="777"/>
      <c r="JNV12" s="778"/>
      <c r="JNW12" s="779"/>
      <c r="JNX12" s="780"/>
      <c r="JNY12" s="781"/>
      <c r="JNZ12" s="782"/>
      <c r="JOA12" s="782"/>
      <c r="JOB12" s="777"/>
      <c r="JOC12" s="778"/>
      <c r="JOD12" s="779"/>
      <c r="JOE12" s="780"/>
      <c r="JOF12" s="781"/>
      <c r="JOG12" s="782"/>
      <c r="JOH12" s="782"/>
      <c r="JOI12" s="777"/>
      <c r="JOJ12" s="778"/>
      <c r="JOK12" s="779"/>
      <c r="JOL12" s="780"/>
      <c r="JOM12" s="781"/>
      <c r="JON12" s="782"/>
      <c r="JOO12" s="782"/>
      <c r="JOP12" s="777"/>
      <c r="JOQ12" s="778"/>
      <c r="JOR12" s="779"/>
      <c r="JOS12" s="780"/>
      <c r="JOT12" s="781"/>
      <c r="JOU12" s="782"/>
      <c r="JOV12" s="782"/>
      <c r="JOW12" s="777"/>
      <c r="JOX12" s="778"/>
      <c r="JOY12" s="779"/>
      <c r="JOZ12" s="780"/>
      <c r="JPA12" s="781"/>
      <c r="JPB12" s="782"/>
      <c r="JPC12" s="782"/>
      <c r="JPD12" s="777"/>
      <c r="JPE12" s="778"/>
      <c r="JPF12" s="779"/>
      <c r="JPG12" s="780"/>
      <c r="JPH12" s="781"/>
      <c r="JPI12" s="782"/>
      <c r="JPJ12" s="782"/>
      <c r="JPK12" s="777"/>
      <c r="JPL12" s="778"/>
      <c r="JPM12" s="779"/>
      <c r="JPN12" s="780"/>
      <c r="JPO12" s="781"/>
      <c r="JPP12" s="782"/>
      <c r="JPQ12" s="782"/>
      <c r="JPR12" s="777"/>
      <c r="JPS12" s="778"/>
      <c r="JPT12" s="779"/>
      <c r="JPU12" s="780"/>
      <c r="JPV12" s="781"/>
      <c r="JPW12" s="782"/>
      <c r="JPX12" s="782"/>
      <c r="JPY12" s="777"/>
      <c r="JPZ12" s="778"/>
      <c r="JQA12" s="779"/>
      <c r="JQB12" s="780"/>
      <c r="JQC12" s="781"/>
      <c r="JQD12" s="782"/>
      <c r="JQE12" s="782"/>
      <c r="JQF12" s="777"/>
      <c r="JQG12" s="778"/>
      <c r="JQH12" s="779"/>
      <c r="JQI12" s="780"/>
      <c r="JQJ12" s="781"/>
      <c r="JQK12" s="782"/>
      <c r="JQL12" s="782"/>
      <c r="JQM12" s="777"/>
      <c r="JQN12" s="778"/>
      <c r="JQO12" s="779"/>
      <c r="JQP12" s="780"/>
      <c r="JQQ12" s="781"/>
      <c r="JQR12" s="782"/>
      <c r="JQS12" s="782"/>
      <c r="JQT12" s="777"/>
      <c r="JQU12" s="778"/>
      <c r="JQV12" s="779"/>
      <c r="JQW12" s="780"/>
      <c r="JQX12" s="781"/>
      <c r="JQY12" s="782"/>
      <c r="JQZ12" s="782"/>
      <c r="JRA12" s="777"/>
      <c r="JRB12" s="778"/>
      <c r="JRC12" s="779"/>
      <c r="JRD12" s="780"/>
      <c r="JRE12" s="781"/>
      <c r="JRF12" s="782"/>
      <c r="JRG12" s="782"/>
      <c r="JRH12" s="777"/>
      <c r="JRI12" s="778"/>
      <c r="JRJ12" s="779"/>
      <c r="JRK12" s="780"/>
      <c r="JRL12" s="781"/>
      <c r="JRM12" s="782"/>
      <c r="JRN12" s="782"/>
      <c r="JRO12" s="777"/>
      <c r="JRP12" s="778"/>
      <c r="JRQ12" s="779"/>
      <c r="JRR12" s="780"/>
      <c r="JRS12" s="781"/>
      <c r="JRT12" s="782"/>
      <c r="JRU12" s="782"/>
      <c r="JRV12" s="777"/>
      <c r="JRW12" s="778"/>
      <c r="JRX12" s="779"/>
      <c r="JRY12" s="780"/>
      <c r="JRZ12" s="781"/>
      <c r="JSA12" s="782"/>
      <c r="JSB12" s="782"/>
      <c r="JSC12" s="777"/>
      <c r="JSD12" s="778"/>
      <c r="JSE12" s="779"/>
      <c r="JSF12" s="780"/>
      <c r="JSG12" s="781"/>
      <c r="JSH12" s="782"/>
      <c r="JSI12" s="782"/>
      <c r="JSJ12" s="777"/>
      <c r="JSK12" s="778"/>
      <c r="JSL12" s="779"/>
      <c r="JSM12" s="780"/>
      <c r="JSN12" s="781"/>
      <c r="JSO12" s="782"/>
      <c r="JSP12" s="782"/>
      <c r="JSQ12" s="777"/>
      <c r="JSR12" s="778"/>
      <c r="JSS12" s="779"/>
      <c r="JST12" s="780"/>
      <c r="JSU12" s="781"/>
      <c r="JSV12" s="782"/>
      <c r="JSW12" s="782"/>
      <c r="JSX12" s="777"/>
      <c r="JSY12" s="778"/>
      <c r="JSZ12" s="779"/>
      <c r="JTA12" s="780"/>
      <c r="JTB12" s="781"/>
      <c r="JTC12" s="782"/>
      <c r="JTD12" s="782"/>
      <c r="JTE12" s="777"/>
      <c r="JTF12" s="778"/>
      <c r="JTG12" s="779"/>
      <c r="JTH12" s="780"/>
      <c r="JTI12" s="781"/>
      <c r="JTJ12" s="782"/>
      <c r="JTK12" s="782"/>
      <c r="JTL12" s="777"/>
      <c r="JTM12" s="778"/>
      <c r="JTN12" s="779"/>
      <c r="JTO12" s="780"/>
      <c r="JTP12" s="781"/>
      <c r="JTQ12" s="782"/>
      <c r="JTR12" s="782"/>
      <c r="JTS12" s="777"/>
      <c r="JTT12" s="778"/>
      <c r="JTU12" s="779"/>
      <c r="JTV12" s="780"/>
      <c r="JTW12" s="781"/>
      <c r="JTX12" s="782"/>
      <c r="JTY12" s="782"/>
      <c r="JTZ12" s="777"/>
      <c r="JUA12" s="778"/>
      <c r="JUB12" s="779"/>
      <c r="JUC12" s="780"/>
      <c r="JUD12" s="781"/>
      <c r="JUE12" s="782"/>
      <c r="JUF12" s="782"/>
      <c r="JUG12" s="777"/>
      <c r="JUH12" s="778"/>
      <c r="JUI12" s="779"/>
      <c r="JUJ12" s="780"/>
      <c r="JUK12" s="781"/>
      <c r="JUL12" s="782"/>
      <c r="JUM12" s="782"/>
      <c r="JUN12" s="777"/>
      <c r="JUO12" s="778"/>
      <c r="JUP12" s="779"/>
      <c r="JUQ12" s="780"/>
      <c r="JUR12" s="781"/>
      <c r="JUS12" s="782"/>
      <c r="JUT12" s="782"/>
      <c r="JUU12" s="777"/>
      <c r="JUV12" s="778"/>
      <c r="JUW12" s="779"/>
      <c r="JUX12" s="780"/>
      <c r="JUY12" s="781"/>
      <c r="JUZ12" s="782"/>
      <c r="JVA12" s="782"/>
      <c r="JVB12" s="777"/>
      <c r="JVC12" s="778"/>
      <c r="JVD12" s="779"/>
      <c r="JVE12" s="780"/>
      <c r="JVF12" s="781"/>
      <c r="JVG12" s="782"/>
      <c r="JVH12" s="782"/>
      <c r="JVI12" s="777"/>
      <c r="JVJ12" s="778"/>
      <c r="JVK12" s="779"/>
      <c r="JVL12" s="780"/>
      <c r="JVM12" s="781"/>
      <c r="JVN12" s="782"/>
      <c r="JVO12" s="782"/>
      <c r="JVP12" s="777"/>
      <c r="JVQ12" s="778"/>
      <c r="JVR12" s="779"/>
      <c r="JVS12" s="780"/>
      <c r="JVT12" s="781"/>
      <c r="JVU12" s="782"/>
      <c r="JVV12" s="782"/>
      <c r="JVW12" s="777"/>
      <c r="JVX12" s="778"/>
      <c r="JVY12" s="779"/>
      <c r="JVZ12" s="780"/>
      <c r="JWA12" s="781"/>
      <c r="JWB12" s="782"/>
      <c r="JWC12" s="782"/>
      <c r="JWD12" s="777"/>
      <c r="JWE12" s="778"/>
      <c r="JWF12" s="779"/>
      <c r="JWG12" s="780"/>
      <c r="JWH12" s="781"/>
      <c r="JWI12" s="782"/>
      <c r="JWJ12" s="782"/>
      <c r="JWK12" s="777"/>
      <c r="JWL12" s="778"/>
      <c r="JWM12" s="779"/>
      <c r="JWN12" s="780"/>
      <c r="JWO12" s="781"/>
      <c r="JWP12" s="782"/>
      <c r="JWQ12" s="782"/>
      <c r="JWR12" s="777"/>
      <c r="JWS12" s="778"/>
      <c r="JWT12" s="779"/>
      <c r="JWU12" s="780"/>
      <c r="JWV12" s="781"/>
      <c r="JWW12" s="782"/>
      <c r="JWX12" s="782"/>
      <c r="JWY12" s="777"/>
      <c r="JWZ12" s="778"/>
      <c r="JXA12" s="779"/>
      <c r="JXB12" s="780"/>
      <c r="JXC12" s="781"/>
      <c r="JXD12" s="782"/>
      <c r="JXE12" s="782"/>
      <c r="JXF12" s="777"/>
      <c r="JXG12" s="778"/>
      <c r="JXH12" s="779"/>
      <c r="JXI12" s="780"/>
      <c r="JXJ12" s="781"/>
      <c r="JXK12" s="782"/>
      <c r="JXL12" s="782"/>
      <c r="JXM12" s="777"/>
      <c r="JXN12" s="778"/>
      <c r="JXO12" s="779"/>
      <c r="JXP12" s="780"/>
      <c r="JXQ12" s="781"/>
      <c r="JXR12" s="782"/>
      <c r="JXS12" s="782"/>
      <c r="JXT12" s="777"/>
      <c r="JXU12" s="778"/>
      <c r="JXV12" s="779"/>
      <c r="JXW12" s="780"/>
      <c r="JXX12" s="781"/>
      <c r="JXY12" s="782"/>
      <c r="JXZ12" s="782"/>
      <c r="JYA12" s="777"/>
      <c r="JYB12" s="778"/>
      <c r="JYC12" s="779"/>
      <c r="JYD12" s="780"/>
      <c r="JYE12" s="781"/>
      <c r="JYF12" s="782"/>
      <c r="JYG12" s="782"/>
      <c r="JYH12" s="777"/>
      <c r="JYI12" s="778"/>
      <c r="JYJ12" s="779"/>
      <c r="JYK12" s="780"/>
      <c r="JYL12" s="781"/>
      <c r="JYM12" s="782"/>
      <c r="JYN12" s="782"/>
      <c r="JYO12" s="777"/>
      <c r="JYP12" s="778"/>
      <c r="JYQ12" s="779"/>
      <c r="JYR12" s="780"/>
      <c r="JYS12" s="781"/>
      <c r="JYT12" s="782"/>
      <c r="JYU12" s="782"/>
      <c r="JYV12" s="777"/>
      <c r="JYW12" s="778"/>
      <c r="JYX12" s="779"/>
      <c r="JYY12" s="780"/>
      <c r="JYZ12" s="781"/>
      <c r="JZA12" s="782"/>
      <c r="JZB12" s="782"/>
      <c r="JZC12" s="777"/>
      <c r="JZD12" s="778"/>
      <c r="JZE12" s="779"/>
      <c r="JZF12" s="780"/>
      <c r="JZG12" s="781"/>
      <c r="JZH12" s="782"/>
      <c r="JZI12" s="782"/>
      <c r="JZJ12" s="777"/>
      <c r="JZK12" s="778"/>
      <c r="JZL12" s="779"/>
      <c r="JZM12" s="780"/>
      <c r="JZN12" s="781"/>
      <c r="JZO12" s="782"/>
      <c r="JZP12" s="782"/>
      <c r="JZQ12" s="777"/>
      <c r="JZR12" s="778"/>
      <c r="JZS12" s="779"/>
      <c r="JZT12" s="780"/>
      <c r="JZU12" s="781"/>
      <c r="JZV12" s="782"/>
      <c r="JZW12" s="782"/>
      <c r="JZX12" s="777"/>
      <c r="JZY12" s="778"/>
      <c r="JZZ12" s="779"/>
      <c r="KAA12" s="780"/>
      <c r="KAB12" s="781"/>
      <c r="KAC12" s="782"/>
      <c r="KAD12" s="782"/>
      <c r="KAE12" s="777"/>
      <c r="KAF12" s="778"/>
      <c r="KAG12" s="779"/>
      <c r="KAH12" s="780"/>
      <c r="KAI12" s="781"/>
      <c r="KAJ12" s="782"/>
      <c r="KAK12" s="782"/>
      <c r="KAL12" s="777"/>
      <c r="KAM12" s="778"/>
      <c r="KAN12" s="779"/>
      <c r="KAO12" s="780"/>
      <c r="KAP12" s="781"/>
      <c r="KAQ12" s="782"/>
      <c r="KAR12" s="782"/>
      <c r="KAS12" s="777"/>
      <c r="KAT12" s="778"/>
      <c r="KAU12" s="779"/>
      <c r="KAV12" s="780"/>
      <c r="KAW12" s="781"/>
      <c r="KAX12" s="782"/>
      <c r="KAY12" s="782"/>
      <c r="KAZ12" s="777"/>
      <c r="KBA12" s="778"/>
      <c r="KBB12" s="779"/>
      <c r="KBC12" s="780"/>
      <c r="KBD12" s="781"/>
      <c r="KBE12" s="782"/>
      <c r="KBF12" s="782"/>
      <c r="KBG12" s="777"/>
      <c r="KBH12" s="778"/>
      <c r="KBI12" s="779"/>
      <c r="KBJ12" s="780"/>
      <c r="KBK12" s="781"/>
      <c r="KBL12" s="782"/>
      <c r="KBM12" s="782"/>
      <c r="KBN12" s="777"/>
      <c r="KBO12" s="778"/>
      <c r="KBP12" s="779"/>
      <c r="KBQ12" s="780"/>
      <c r="KBR12" s="781"/>
      <c r="KBS12" s="782"/>
      <c r="KBT12" s="782"/>
      <c r="KBU12" s="777"/>
      <c r="KBV12" s="778"/>
      <c r="KBW12" s="779"/>
      <c r="KBX12" s="780"/>
      <c r="KBY12" s="781"/>
      <c r="KBZ12" s="782"/>
      <c r="KCA12" s="782"/>
      <c r="KCB12" s="777"/>
      <c r="KCC12" s="778"/>
      <c r="KCD12" s="779"/>
      <c r="KCE12" s="780"/>
      <c r="KCF12" s="781"/>
      <c r="KCG12" s="782"/>
      <c r="KCH12" s="782"/>
      <c r="KCI12" s="777"/>
      <c r="KCJ12" s="778"/>
      <c r="KCK12" s="779"/>
      <c r="KCL12" s="780"/>
      <c r="KCM12" s="781"/>
      <c r="KCN12" s="782"/>
      <c r="KCO12" s="782"/>
      <c r="KCP12" s="777"/>
      <c r="KCQ12" s="778"/>
      <c r="KCR12" s="779"/>
      <c r="KCS12" s="780"/>
      <c r="KCT12" s="781"/>
      <c r="KCU12" s="782"/>
      <c r="KCV12" s="782"/>
      <c r="KCW12" s="777"/>
      <c r="KCX12" s="778"/>
      <c r="KCY12" s="779"/>
      <c r="KCZ12" s="780"/>
      <c r="KDA12" s="781"/>
      <c r="KDB12" s="782"/>
      <c r="KDC12" s="782"/>
      <c r="KDD12" s="777"/>
      <c r="KDE12" s="778"/>
      <c r="KDF12" s="779"/>
      <c r="KDG12" s="780"/>
      <c r="KDH12" s="781"/>
      <c r="KDI12" s="782"/>
      <c r="KDJ12" s="782"/>
      <c r="KDK12" s="777"/>
      <c r="KDL12" s="778"/>
      <c r="KDM12" s="779"/>
      <c r="KDN12" s="780"/>
      <c r="KDO12" s="781"/>
      <c r="KDP12" s="782"/>
      <c r="KDQ12" s="782"/>
      <c r="KDR12" s="777"/>
      <c r="KDS12" s="778"/>
      <c r="KDT12" s="779"/>
      <c r="KDU12" s="780"/>
      <c r="KDV12" s="781"/>
      <c r="KDW12" s="782"/>
      <c r="KDX12" s="782"/>
      <c r="KDY12" s="777"/>
      <c r="KDZ12" s="778"/>
      <c r="KEA12" s="779"/>
      <c r="KEB12" s="780"/>
      <c r="KEC12" s="781"/>
      <c r="KED12" s="782"/>
      <c r="KEE12" s="782"/>
      <c r="KEF12" s="777"/>
      <c r="KEG12" s="778"/>
      <c r="KEH12" s="779"/>
      <c r="KEI12" s="780"/>
      <c r="KEJ12" s="781"/>
      <c r="KEK12" s="782"/>
      <c r="KEL12" s="782"/>
      <c r="KEM12" s="777"/>
      <c r="KEN12" s="778"/>
      <c r="KEO12" s="779"/>
      <c r="KEP12" s="780"/>
      <c r="KEQ12" s="781"/>
      <c r="KER12" s="782"/>
      <c r="KES12" s="782"/>
      <c r="KET12" s="777"/>
      <c r="KEU12" s="778"/>
      <c r="KEV12" s="779"/>
      <c r="KEW12" s="780"/>
      <c r="KEX12" s="781"/>
      <c r="KEY12" s="782"/>
      <c r="KEZ12" s="782"/>
      <c r="KFA12" s="777"/>
      <c r="KFB12" s="778"/>
      <c r="KFC12" s="779"/>
      <c r="KFD12" s="780"/>
      <c r="KFE12" s="781"/>
      <c r="KFF12" s="782"/>
      <c r="KFG12" s="782"/>
      <c r="KFH12" s="777"/>
      <c r="KFI12" s="778"/>
      <c r="KFJ12" s="779"/>
      <c r="KFK12" s="780"/>
      <c r="KFL12" s="781"/>
      <c r="KFM12" s="782"/>
      <c r="KFN12" s="782"/>
      <c r="KFO12" s="777"/>
      <c r="KFP12" s="778"/>
      <c r="KFQ12" s="779"/>
      <c r="KFR12" s="780"/>
      <c r="KFS12" s="781"/>
      <c r="KFT12" s="782"/>
      <c r="KFU12" s="782"/>
      <c r="KFV12" s="777"/>
      <c r="KFW12" s="778"/>
      <c r="KFX12" s="779"/>
      <c r="KFY12" s="780"/>
      <c r="KFZ12" s="781"/>
      <c r="KGA12" s="782"/>
      <c r="KGB12" s="782"/>
      <c r="KGC12" s="777"/>
      <c r="KGD12" s="778"/>
      <c r="KGE12" s="779"/>
      <c r="KGF12" s="780"/>
      <c r="KGG12" s="781"/>
      <c r="KGH12" s="782"/>
      <c r="KGI12" s="782"/>
      <c r="KGJ12" s="777"/>
      <c r="KGK12" s="778"/>
      <c r="KGL12" s="779"/>
      <c r="KGM12" s="780"/>
      <c r="KGN12" s="781"/>
      <c r="KGO12" s="782"/>
      <c r="KGP12" s="782"/>
      <c r="KGQ12" s="777"/>
      <c r="KGR12" s="778"/>
      <c r="KGS12" s="779"/>
      <c r="KGT12" s="780"/>
      <c r="KGU12" s="781"/>
      <c r="KGV12" s="782"/>
      <c r="KGW12" s="782"/>
      <c r="KGX12" s="777"/>
      <c r="KGY12" s="778"/>
      <c r="KGZ12" s="779"/>
      <c r="KHA12" s="780"/>
      <c r="KHB12" s="781"/>
      <c r="KHC12" s="782"/>
      <c r="KHD12" s="782"/>
      <c r="KHE12" s="777"/>
      <c r="KHF12" s="778"/>
      <c r="KHG12" s="779"/>
      <c r="KHH12" s="780"/>
      <c r="KHI12" s="781"/>
      <c r="KHJ12" s="782"/>
      <c r="KHK12" s="782"/>
      <c r="KHL12" s="777"/>
      <c r="KHM12" s="778"/>
      <c r="KHN12" s="779"/>
      <c r="KHO12" s="780"/>
      <c r="KHP12" s="781"/>
      <c r="KHQ12" s="782"/>
      <c r="KHR12" s="782"/>
      <c r="KHS12" s="777"/>
      <c r="KHT12" s="778"/>
      <c r="KHU12" s="779"/>
      <c r="KHV12" s="780"/>
      <c r="KHW12" s="781"/>
      <c r="KHX12" s="782"/>
      <c r="KHY12" s="782"/>
      <c r="KHZ12" s="777"/>
      <c r="KIA12" s="778"/>
      <c r="KIB12" s="779"/>
      <c r="KIC12" s="780"/>
      <c r="KID12" s="781"/>
      <c r="KIE12" s="782"/>
      <c r="KIF12" s="782"/>
      <c r="KIG12" s="777"/>
      <c r="KIH12" s="778"/>
      <c r="KII12" s="779"/>
      <c r="KIJ12" s="780"/>
      <c r="KIK12" s="781"/>
      <c r="KIL12" s="782"/>
      <c r="KIM12" s="782"/>
      <c r="KIN12" s="777"/>
      <c r="KIO12" s="778"/>
      <c r="KIP12" s="779"/>
      <c r="KIQ12" s="780"/>
      <c r="KIR12" s="781"/>
      <c r="KIS12" s="782"/>
      <c r="KIT12" s="782"/>
      <c r="KIU12" s="777"/>
      <c r="KIV12" s="778"/>
      <c r="KIW12" s="779"/>
      <c r="KIX12" s="780"/>
      <c r="KIY12" s="781"/>
      <c r="KIZ12" s="782"/>
      <c r="KJA12" s="782"/>
      <c r="KJB12" s="777"/>
      <c r="KJC12" s="778"/>
      <c r="KJD12" s="779"/>
      <c r="KJE12" s="780"/>
      <c r="KJF12" s="781"/>
      <c r="KJG12" s="782"/>
      <c r="KJH12" s="782"/>
      <c r="KJI12" s="777"/>
      <c r="KJJ12" s="778"/>
      <c r="KJK12" s="779"/>
      <c r="KJL12" s="780"/>
      <c r="KJM12" s="781"/>
      <c r="KJN12" s="782"/>
      <c r="KJO12" s="782"/>
      <c r="KJP12" s="777"/>
      <c r="KJQ12" s="778"/>
      <c r="KJR12" s="779"/>
      <c r="KJS12" s="780"/>
      <c r="KJT12" s="781"/>
      <c r="KJU12" s="782"/>
      <c r="KJV12" s="782"/>
      <c r="KJW12" s="777"/>
      <c r="KJX12" s="778"/>
      <c r="KJY12" s="779"/>
      <c r="KJZ12" s="780"/>
      <c r="KKA12" s="781"/>
      <c r="KKB12" s="782"/>
      <c r="KKC12" s="782"/>
      <c r="KKD12" s="777"/>
      <c r="KKE12" s="778"/>
      <c r="KKF12" s="779"/>
      <c r="KKG12" s="780"/>
      <c r="KKH12" s="781"/>
      <c r="KKI12" s="782"/>
      <c r="KKJ12" s="782"/>
      <c r="KKK12" s="777"/>
      <c r="KKL12" s="778"/>
      <c r="KKM12" s="779"/>
      <c r="KKN12" s="780"/>
      <c r="KKO12" s="781"/>
      <c r="KKP12" s="782"/>
      <c r="KKQ12" s="782"/>
      <c r="KKR12" s="777"/>
      <c r="KKS12" s="778"/>
      <c r="KKT12" s="779"/>
      <c r="KKU12" s="780"/>
      <c r="KKV12" s="781"/>
      <c r="KKW12" s="782"/>
      <c r="KKX12" s="782"/>
      <c r="KKY12" s="777"/>
      <c r="KKZ12" s="778"/>
      <c r="KLA12" s="779"/>
      <c r="KLB12" s="780"/>
      <c r="KLC12" s="781"/>
      <c r="KLD12" s="782"/>
      <c r="KLE12" s="782"/>
      <c r="KLF12" s="777"/>
      <c r="KLG12" s="778"/>
      <c r="KLH12" s="779"/>
      <c r="KLI12" s="780"/>
      <c r="KLJ12" s="781"/>
      <c r="KLK12" s="782"/>
      <c r="KLL12" s="782"/>
      <c r="KLM12" s="777"/>
      <c r="KLN12" s="778"/>
      <c r="KLO12" s="779"/>
      <c r="KLP12" s="780"/>
      <c r="KLQ12" s="781"/>
      <c r="KLR12" s="782"/>
      <c r="KLS12" s="782"/>
      <c r="KLT12" s="777"/>
      <c r="KLU12" s="778"/>
      <c r="KLV12" s="779"/>
      <c r="KLW12" s="780"/>
      <c r="KLX12" s="781"/>
      <c r="KLY12" s="782"/>
      <c r="KLZ12" s="782"/>
      <c r="KMA12" s="777"/>
      <c r="KMB12" s="778"/>
      <c r="KMC12" s="779"/>
      <c r="KMD12" s="780"/>
      <c r="KME12" s="781"/>
      <c r="KMF12" s="782"/>
      <c r="KMG12" s="782"/>
      <c r="KMH12" s="777"/>
      <c r="KMI12" s="778"/>
      <c r="KMJ12" s="779"/>
      <c r="KMK12" s="780"/>
      <c r="KML12" s="781"/>
      <c r="KMM12" s="782"/>
      <c r="KMN12" s="782"/>
      <c r="KMO12" s="777"/>
      <c r="KMP12" s="778"/>
      <c r="KMQ12" s="779"/>
      <c r="KMR12" s="780"/>
      <c r="KMS12" s="781"/>
      <c r="KMT12" s="782"/>
      <c r="KMU12" s="782"/>
      <c r="KMV12" s="777"/>
      <c r="KMW12" s="778"/>
      <c r="KMX12" s="779"/>
      <c r="KMY12" s="780"/>
      <c r="KMZ12" s="781"/>
      <c r="KNA12" s="782"/>
      <c r="KNB12" s="782"/>
      <c r="KNC12" s="777"/>
      <c r="KND12" s="778"/>
      <c r="KNE12" s="779"/>
      <c r="KNF12" s="780"/>
      <c r="KNG12" s="781"/>
      <c r="KNH12" s="782"/>
      <c r="KNI12" s="782"/>
      <c r="KNJ12" s="777"/>
      <c r="KNK12" s="778"/>
      <c r="KNL12" s="779"/>
      <c r="KNM12" s="780"/>
      <c r="KNN12" s="781"/>
      <c r="KNO12" s="782"/>
      <c r="KNP12" s="782"/>
      <c r="KNQ12" s="777"/>
      <c r="KNR12" s="778"/>
      <c r="KNS12" s="779"/>
      <c r="KNT12" s="780"/>
      <c r="KNU12" s="781"/>
      <c r="KNV12" s="782"/>
      <c r="KNW12" s="782"/>
      <c r="KNX12" s="777"/>
      <c r="KNY12" s="778"/>
      <c r="KNZ12" s="779"/>
      <c r="KOA12" s="780"/>
      <c r="KOB12" s="781"/>
      <c r="KOC12" s="782"/>
      <c r="KOD12" s="782"/>
      <c r="KOE12" s="777"/>
      <c r="KOF12" s="778"/>
      <c r="KOG12" s="779"/>
      <c r="KOH12" s="780"/>
      <c r="KOI12" s="781"/>
      <c r="KOJ12" s="782"/>
      <c r="KOK12" s="782"/>
      <c r="KOL12" s="777"/>
      <c r="KOM12" s="778"/>
      <c r="KON12" s="779"/>
      <c r="KOO12" s="780"/>
      <c r="KOP12" s="781"/>
      <c r="KOQ12" s="782"/>
      <c r="KOR12" s="782"/>
      <c r="KOS12" s="777"/>
      <c r="KOT12" s="778"/>
      <c r="KOU12" s="779"/>
      <c r="KOV12" s="780"/>
      <c r="KOW12" s="781"/>
      <c r="KOX12" s="782"/>
      <c r="KOY12" s="782"/>
      <c r="KOZ12" s="777"/>
      <c r="KPA12" s="778"/>
      <c r="KPB12" s="779"/>
      <c r="KPC12" s="780"/>
      <c r="KPD12" s="781"/>
      <c r="KPE12" s="782"/>
      <c r="KPF12" s="782"/>
      <c r="KPG12" s="777"/>
      <c r="KPH12" s="778"/>
      <c r="KPI12" s="779"/>
      <c r="KPJ12" s="780"/>
      <c r="KPK12" s="781"/>
      <c r="KPL12" s="782"/>
      <c r="KPM12" s="782"/>
      <c r="KPN12" s="777"/>
      <c r="KPO12" s="778"/>
      <c r="KPP12" s="779"/>
      <c r="KPQ12" s="780"/>
      <c r="KPR12" s="781"/>
      <c r="KPS12" s="782"/>
      <c r="KPT12" s="782"/>
      <c r="KPU12" s="777"/>
      <c r="KPV12" s="778"/>
      <c r="KPW12" s="779"/>
      <c r="KPX12" s="780"/>
      <c r="KPY12" s="781"/>
      <c r="KPZ12" s="782"/>
      <c r="KQA12" s="782"/>
      <c r="KQB12" s="777"/>
      <c r="KQC12" s="778"/>
      <c r="KQD12" s="779"/>
      <c r="KQE12" s="780"/>
      <c r="KQF12" s="781"/>
      <c r="KQG12" s="782"/>
      <c r="KQH12" s="782"/>
      <c r="KQI12" s="777"/>
      <c r="KQJ12" s="778"/>
      <c r="KQK12" s="779"/>
      <c r="KQL12" s="780"/>
      <c r="KQM12" s="781"/>
      <c r="KQN12" s="782"/>
      <c r="KQO12" s="782"/>
      <c r="KQP12" s="777"/>
      <c r="KQQ12" s="778"/>
      <c r="KQR12" s="779"/>
      <c r="KQS12" s="780"/>
      <c r="KQT12" s="781"/>
      <c r="KQU12" s="782"/>
      <c r="KQV12" s="782"/>
      <c r="KQW12" s="777"/>
      <c r="KQX12" s="778"/>
      <c r="KQY12" s="779"/>
      <c r="KQZ12" s="780"/>
      <c r="KRA12" s="781"/>
      <c r="KRB12" s="782"/>
      <c r="KRC12" s="782"/>
      <c r="KRD12" s="777"/>
      <c r="KRE12" s="778"/>
      <c r="KRF12" s="779"/>
      <c r="KRG12" s="780"/>
      <c r="KRH12" s="781"/>
      <c r="KRI12" s="782"/>
      <c r="KRJ12" s="782"/>
      <c r="KRK12" s="777"/>
      <c r="KRL12" s="778"/>
      <c r="KRM12" s="779"/>
      <c r="KRN12" s="780"/>
      <c r="KRO12" s="781"/>
      <c r="KRP12" s="782"/>
      <c r="KRQ12" s="782"/>
      <c r="KRR12" s="777"/>
      <c r="KRS12" s="778"/>
      <c r="KRT12" s="779"/>
      <c r="KRU12" s="780"/>
      <c r="KRV12" s="781"/>
      <c r="KRW12" s="782"/>
      <c r="KRX12" s="782"/>
      <c r="KRY12" s="777"/>
      <c r="KRZ12" s="778"/>
      <c r="KSA12" s="779"/>
      <c r="KSB12" s="780"/>
      <c r="KSC12" s="781"/>
      <c r="KSD12" s="782"/>
      <c r="KSE12" s="782"/>
      <c r="KSF12" s="777"/>
      <c r="KSG12" s="778"/>
      <c r="KSH12" s="779"/>
      <c r="KSI12" s="780"/>
      <c r="KSJ12" s="781"/>
      <c r="KSK12" s="782"/>
      <c r="KSL12" s="782"/>
      <c r="KSM12" s="777"/>
      <c r="KSN12" s="778"/>
      <c r="KSO12" s="779"/>
      <c r="KSP12" s="780"/>
      <c r="KSQ12" s="781"/>
      <c r="KSR12" s="782"/>
      <c r="KSS12" s="782"/>
      <c r="KST12" s="777"/>
      <c r="KSU12" s="778"/>
      <c r="KSV12" s="779"/>
      <c r="KSW12" s="780"/>
      <c r="KSX12" s="781"/>
      <c r="KSY12" s="782"/>
      <c r="KSZ12" s="782"/>
      <c r="KTA12" s="777"/>
      <c r="KTB12" s="778"/>
      <c r="KTC12" s="779"/>
      <c r="KTD12" s="780"/>
      <c r="KTE12" s="781"/>
      <c r="KTF12" s="782"/>
      <c r="KTG12" s="782"/>
      <c r="KTH12" s="777"/>
      <c r="KTI12" s="778"/>
      <c r="KTJ12" s="779"/>
      <c r="KTK12" s="780"/>
      <c r="KTL12" s="781"/>
      <c r="KTM12" s="782"/>
      <c r="KTN12" s="782"/>
      <c r="KTO12" s="777"/>
      <c r="KTP12" s="778"/>
      <c r="KTQ12" s="779"/>
      <c r="KTR12" s="780"/>
      <c r="KTS12" s="781"/>
      <c r="KTT12" s="782"/>
      <c r="KTU12" s="782"/>
      <c r="KTV12" s="777"/>
      <c r="KTW12" s="778"/>
      <c r="KTX12" s="779"/>
      <c r="KTY12" s="780"/>
      <c r="KTZ12" s="781"/>
      <c r="KUA12" s="782"/>
      <c r="KUB12" s="782"/>
      <c r="KUC12" s="777"/>
      <c r="KUD12" s="778"/>
      <c r="KUE12" s="779"/>
      <c r="KUF12" s="780"/>
      <c r="KUG12" s="781"/>
      <c r="KUH12" s="782"/>
      <c r="KUI12" s="782"/>
      <c r="KUJ12" s="777"/>
      <c r="KUK12" s="778"/>
      <c r="KUL12" s="779"/>
      <c r="KUM12" s="780"/>
      <c r="KUN12" s="781"/>
      <c r="KUO12" s="782"/>
      <c r="KUP12" s="782"/>
      <c r="KUQ12" s="777"/>
      <c r="KUR12" s="778"/>
      <c r="KUS12" s="779"/>
      <c r="KUT12" s="780"/>
      <c r="KUU12" s="781"/>
      <c r="KUV12" s="782"/>
      <c r="KUW12" s="782"/>
      <c r="KUX12" s="777"/>
      <c r="KUY12" s="778"/>
      <c r="KUZ12" s="779"/>
      <c r="KVA12" s="780"/>
      <c r="KVB12" s="781"/>
      <c r="KVC12" s="782"/>
      <c r="KVD12" s="782"/>
      <c r="KVE12" s="777"/>
      <c r="KVF12" s="778"/>
      <c r="KVG12" s="779"/>
      <c r="KVH12" s="780"/>
      <c r="KVI12" s="781"/>
      <c r="KVJ12" s="782"/>
      <c r="KVK12" s="782"/>
      <c r="KVL12" s="777"/>
      <c r="KVM12" s="778"/>
      <c r="KVN12" s="779"/>
      <c r="KVO12" s="780"/>
      <c r="KVP12" s="781"/>
      <c r="KVQ12" s="782"/>
      <c r="KVR12" s="782"/>
      <c r="KVS12" s="777"/>
      <c r="KVT12" s="778"/>
      <c r="KVU12" s="779"/>
      <c r="KVV12" s="780"/>
      <c r="KVW12" s="781"/>
      <c r="KVX12" s="782"/>
      <c r="KVY12" s="782"/>
      <c r="KVZ12" s="777"/>
      <c r="KWA12" s="778"/>
      <c r="KWB12" s="779"/>
      <c r="KWC12" s="780"/>
      <c r="KWD12" s="781"/>
      <c r="KWE12" s="782"/>
      <c r="KWF12" s="782"/>
      <c r="KWG12" s="777"/>
      <c r="KWH12" s="778"/>
      <c r="KWI12" s="779"/>
      <c r="KWJ12" s="780"/>
      <c r="KWK12" s="781"/>
      <c r="KWL12" s="782"/>
      <c r="KWM12" s="782"/>
      <c r="KWN12" s="777"/>
      <c r="KWO12" s="778"/>
      <c r="KWP12" s="779"/>
      <c r="KWQ12" s="780"/>
      <c r="KWR12" s="781"/>
      <c r="KWS12" s="782"/>
      <c r="KWT12" s="782"/>
      <c r="KWU12" s="777"/>
      <c r="KWV12" s="778"/>
      <c r="KWW12" s="779"/>
      <c r="KWX12" s="780"/>
      <c r="KWY12" s="781"/>
      <c r="KWZ12" s="782"/>
      <c r="KXA12" s="782"/>
      <c r="KXB12" s="777"/>
      <c r="KXC12" s="778"/>
      <c r="KXD12" s="779"/>
      <c r="KXE12" s="780"/>
      <c r="KXF12" s="781"/>
      <c r="KXG12" s="782"/>
      <c r="KXH12" s="782"/>
      <c r="KXI12" s="777"/>
      <c r="KXJ12" s="778"/>
      <c r="KXK12" s="779"/>
      <c r="KXL12" s="780"/>
      <c r="KXM12" s="781"/>
      <c r="KXN12" s="782"/>
      <c r="KXO12" s="782"/>
      <c r="KXP12" s="777"/>
      <c r="KXQ12" s="778"/>
      <c r="KXR12" s="779"/>
      <c r="KXS12" s="780"/>
      <c r="KXT12" s="781"/>
      <c r="KXU12" s="782"/>
      <c r="KXV12" s="782"/>
      <c r="KXW12" s="777"/>
      <c r="KXX12" s="778"/>
      <c r="KXY12" s="779"/>
      <c r="KXZ12" s="780"/>
      <c r="KYA12" s="781"/>
      <c r="KYB12" s="782"/>
      <c r="KYC12" s="782"/>
      <c r="KYD12" s="777"/>
      <c r="KYE12" s="778"/>
      <c r="KYF12" s="779"/>
      <c r="KYG12" s="780"/>
      <c r="KYH12" s="781"/>
      <c r="KYI12" s="782"/>
      <c r="KYJ12" s="782"/>
      <c r="KYK12" s="777"/>
      <c r="KYL12" s="778"/>
      <c r="KYM12" s="779"/>
      <c r="KYN12" s="780"/>
      <c r="KYO12" s="781"/>
      <c r="KYP12" s="782"/>
      <c r="KYQ12" s="782"/>
      <c r="KYR12" s="777"/>
      <c r="KYS12" s="778"/>
      <c r="KYT12" s="779"/>
      <c r="KYU12" s="780"/>
      <c r="KYV12" s="781"/>
      <c r="KYW12" s="782"/>
      <c r="KYX12" s="782"/>
      <c r="KYY12" s="777"/>
      <c r="KYZ12" s="778"/>
      <c r="KZA12" s="779"/>
      <c r="KZB12" s="780"/>
      <c r="KZC12" s="781"/>
      <c r="KZD12" s="782"/>
      <c r="KZE12" s="782"/>
      <c r="KZF12" s="777"/>
      <c r="KZG12" s="778"/>
      <c r="KZH12" s="779"/>
      <c r="KZI12" s="780"/>
      <c r="KZJ12" s="781"/>
      <c r="KZK12" s="782"/>
      <c r="KZL12" s="782"/>
      <c r="KZM12" s="777"/>
      <c r="KZN12" s="778"/>
      <c r="KZO12" s="779"/>
      <c r="KZP12" s="780"/>
      <c r="KZQ12" s="781"/>
      <c r="KZR12" s="782"/>
      <c r="KZS12" s="782"/>
      <c r="KZT12" s="777"/>
      <c r="KZU12" s="778"/>
      <c r="KZV12" s="779"/>
      <c r="KZW12" s="780"/>
      <c r="KZX12" s="781"/>
      <c r="KZY12" s="782"/>
      <c r="KZZ12" s="782"/>
      <c r="LAA12" s="777"/>
      <c r="LAB12" s="778"/>
      <c r="LAC12" s="779"/>
      <c r="LAD12" s="780"/>
      <c r="LAE12" s="781"/>
      <c r="LAF12" s="782"/>
      <c r="LAG12" s="782"/>
      <c r="LAH12" s="777"/>
      <c r="LAI12" s="778"/>
      <c r="LAJ12" s="779"/>
      <c r="LAK12" s="780"/>
      <c r="LAL12" s="781"/>
      <c r="LAM12" s="782"/>
      <c r="LAN12" s="782"/>
      <c r="LAO12" s="777"/>
      <c r="LAP12" s="778"/>
      <c r="LAQ12" s="779"/>
      <c r="LAR12" s="780"/>
      <c r="LAS12" s="781"/>
      <c r="LAT12" s="782"/>
      <c r="LAU12" s="782"/>
      <c r="LAV12" s="777"/>
      <c r="LAW12" s="778"/>
      <c r="LAX12" s="779"/>
      <c r="LAY12" s="780"/>
      <c r="LAZ12" s="781"/>
      <c r="LBA12" s="782"/>
      <c r="LBB12" s="782"/>
      <c r="LBC12" s="777"/>
      <c r="LBD12" s="778"/>
      <c r="LBE12" s="779"/>
      <c r="LBF12" s="780"/>
      <c r="LBG12" s="781"/>
      <c r="LBH12" s="782"/>
      <c r="LBI12" s="782"/>
      <c r="LBJ12" s="777"/>
      <c r="LBK12" s="778"/>
      <c r="LBL12" s="779"/>
      <c r="LBM12" s="780"/>
      <c r="LBN12" s="781"/>
      <c r="LBO12" s="782"/>
      <c r="LBP12" s="782"/>
      <c r="LBQ12" s="777"/>
      <c r="LBR12" s="778"/>
      <c r="LBS12" s="779"/>
      <c r="LBT12" s="780"/>
      <c r="LBU12" s="781"/>
      <c r="LBV12" s="782"/>
      <c r="LBW12" s="782"/>
      <c r="LBX12" s="777"/>
      <c r="LBY12" s="778"/>
      <c r="LBZ12" s="779"/>
      <c r="LCA12" s="780"/>
      <c r="LCB12" s="781"/>
      <c r="LCC12" s="782"/>
      <c r="LCD12" s="782"/>
      <c r="LCE12" s="777"/>
      <c r="LCF12" s="778"/>
      <c r="LCG12" s="779"/>
      <c r="LCH12" s="780"/>
      <c r="LCI12" s="781"/>
      <c r="LCJ12" s="782"/>
      <c r="LCK12" s="782"/>
      <c r="LCL12" s="777"/>
      <c r="LCM12" s="778"/>
      <c r="LCN12" s="779"/>
      <c r="LCO12" s="780"/>
      <c r="LCP12" s="781"/>
      <c r="LCQ12" s="782"/>
      <c r="LCR12" s="782"/>
      <c r="LCS12" s="777"/>
      <c r="LCT12" s="778"/>
      <c r="LCU12" s="779"/>
      <c r="LCV12" s="780"/>
      <c r="LCW12" s="781"/>
      <c r="LCX12" s="782"/>
      <c r="LCY12" s="782"/>
      <c r="LCZ12" s="777"/>
      <c r="LDA12" s="778"/>
      <c r="LDB12" s="779"/>
      <c r="LDC12" s="780"/>
      <c r="LDD12" s="781"/>
      <c r="LDE12" s="782"/>
      <c r="LDF12" s="782"/>
      <c r="LDG12" s="777"/>
      <c r="LDH12" s="778"/>
      <c r="LDI12" s="779"/>
      <c r="LDJ12" s="780"/>
      <c r="LDK12" s="781"/>
      <c r="LDL12" s="782"/>
      <c r="LDM12" s="782"/>
      <c r="LDN12" s="777"/>
      <c r="LDO12" s="778"/>
      <c r="LDP12" s="779"/>
      <c r="LDQ12" s="780"/>
      <c r="LDR12" s="781"/>
      <c r="LDS12" s="782"/>
      <c r="LDT12" s="782"/>
      <c r="LDU12" s="777"/>
      <c r="LDV12" s="778"/>
      <c r="LDW12" s="779"/>
      <c r="LDX12" s="780"/>
      <c r="LDY12" s="781"/>
      <c r="LDZ12" s="782"/>
      <c r="LEA12" s="782"/>
      <c r="LEB12" s="777"/>
      <c r="LEC12" s="778"/>
      <c r="LED12" s="779"/>
      <c r="LEE12" s="780"/>
      <c r="LEF12" s="781"/>
      <c r="LEG12" s="782"/>
      <c r="LEH12" s="782"/>
      <c r="LEI12" s="777"/>
      <c r="LEJ12" s="778"/>
      <c r="LEK12" s="779"/>
      <c r="LEL12" s="780"/>
      <c r="LEM12" s="781"/>
      <c r="LEN12" s="782"/>
      <c r="LEO12" s="782"/>
      <c r="LEP12" s="777"/>
      <c r="LEQ12" s="778"/>
      <c r="LER12" s="779"/>
      <c r="LES12" s="780"/>
      <c r="LET12" s="781"/>
      <c r="LEU12" s="782"/>
      <c r="LEV12" s="782"/>
      <c r="LEW12" s="777"/>
      <c r="LEX12" s="778"/>
      <c r="LEY12" s="779"/>
      <c r="LEZ12" s="780"/>
      <c r="LFA12" s="781"/>
      <c r="LFB12" s="782"/>
      <c r="LFC12" s="782"/>
      <c r="LFD12" s="777"/>
      <c r="LFE12" s="778"/>
      <c r="LFF12" s="779"/>
      <c r="LFG12" s="780"/>
      <c r="LFH12" s="781"/>
      <c r="LFI12" s="782"/>
      <c r="LFJ12" s="782"/>
      <c r="LFK12" s="777"/>
      <c r="LFL12" s="778"/>
      <c r="LFM12" s="779"/>
      <c r="LFN12" s="780"/>
      <c r="LFO12" s="781"/>
      <c r="LFP12" s="782"/>
      <c r="LFQ12" s="782"/>
      <c r="LFR12" s="777"/>
      <c r="LFS12" s="778"/>
      <c r="LFT12" s="779"/>
      <c r="LFU12" s="780"/>
      <c r="LFV12" s="781"/>
      <c r="LFW12" s="782"/>
      <c r="LFX12" s="782"/>
      <c r="LFY12" s="777"/>
      <c r="LFZ12" s="778"/>
      <c r="LGA12" s="779"/>
      <c r="LGB12" s="780"/>
      <c r="LGC12" s="781"/>
      <c r="LGD12" s="782"/>
      <c r="LGE12" s="782"/>
      <c r="LGF12" s="777"/>
      <c r="LGG12" s="778"/>
      <c r="LGH12" s="779"/>
      <c r="LGI12" s="780"/>
      <c r="LGJ12" s="781"/>
      <c r="LGK12" s="782"/>
      <c r="LGL12" s="782"/>
      <c r="LGM12" s="777"/>
      <c r="LGN12" s="778"/>
      <c r="LGO12" s="779"/>
      <c r="LGP12" s="780"/>
      <c r="LGQ12" s="781"/>
      <c r="LGR12" s="782"/>
      <c r="LGS12" s="782"/>
      <c r="LGT12" s="777"/>
      <c r="LGU12" s="778"/>
      <c r="LGV12" s="779"/>
      <c r="LGW12" s="780"/>
      <c r="LGX12" s="781"/>
      <c r="LGY12" s="782"/>
      <c r="LGZ12" s="782"/>
      <c r="LHA12" s="777"/>
      <c r="LHB12" s="778"/>
      <c r="LHC12" s="779"/>
      <c r="LHD12" s="780"/>
      <c r="LHE12" s="781"/>
      <c r="LHF12" s="782"/>
      <c r="LHG12" s="782"/>
      <c r="LHH12" s="777"/>
      <c r="LHI12" s="778"/>
      <c r="LHJ12" s="779"/>
      <c r="LHK12" s="780"/>
      <c r="LHL12" s="781"/>
      <c r="LHM12" s="782"/>
      <c r="LHN12" s="782"/>
      <c r="LHO12" s="777"/>
      <c r="LHP12" s="778"/>
      <c r="LHQ12" s="779"/>
      <c r="LHR12" s="780"/>
      <c r="LHS12" s="781"/>
      <c r="LHT12" s="782"/>
      <c r="LHU12" s="782"/>
      <c r="LHV12" s="777"/>
      <c r="LHW12" s="778"/>
      <c r="LHX12" s="779"/>
      <c r="LHY12" s="780"/>
      <c r="LHZ12" s="781"/>
      <c r="LIA12" s="782"/>
      <c r="LIB12" s="782"/>
      <c r="LIC12" s="777"/>
      <c r="LID12" s="778"/>
      <c r="LIE12" s="779"/>
      <c r="LIF12" s="780"/>
      <c r="LIG12" s="781"/>
      <c r="LIH12" s="782"/>
      <c r="LII12" s="782"/>
      <c r="LIJ12" s="777"/>
      <c r="LIK12" s="778"/>
      <c r="LIL12" s="779"/>
      <c r="LIM12" s="780"/>
      <c r="LIN12" s="781"/>
      <c r="LIO12" s="782"/>
      <c r="LIP12" s="782"/>
      <c r="LIQ12" s="777"/>
      <c r="LIR12" s="778"/>
      <c r="LIS12" s="779"/>
      <c r="LIT12" s="780"/>
      <c r="LIU12" s="781"/>
      <c r="LIV12" s="782"/>
      <c r="LIW12" s="782"/>
      <c r="LIX12" s="777"/>
      <c r="LIY12" s="778"/>
      <c r="LIZ12" s="779"/>
      <c r="LJA12" s="780"/>
      <c r="LJB12" s="781"/>
      <c r="LJC12" s="782"/>
      <c r="LJD12" s="782"/>
      <c r="LJE12" s="777"/>
      <c r="LJF12" s="778"/>
      <c r="LJG12" s="779"/>
      <c r="LJH12" s="780"/>
      <c r="LJI12" s="781"/>
      <c r="LJJ12" s="782"/>
      <c r="LJK12" s="782"/>
      <c r="LJL12" s="777"/>
      <c r="LJM12" s="778"/>
      <c r="LJN12" s="779"/>
      <c r="LJO12" s="780"/>
      <c r="LJP12" s="781"/>
      <c r="LJQ12" s="782"/>
      <c r="LJR12" s="782"/>
      <c r="LJS12" s="777"/>
      <c r="LJT12" s="778"/>
      <c r="LJU12" s="779"/>
      <c r="LJV12" s="780"/>
      <c r="LJW12" s="781"/>
      <c r="LJX12" s="782"/>
      <c r="LJY12" s="782"/>
      <c r="LJZ12" s="777"/>
      <c r="LKA12" s="778"/>
      <c r="LKB12" s="779"/>
      <c r="LKC12" s="780"/>
      <c r="LKD12" s="781"/>
      <c r="LKE12" s="782"/>
      <c r="LKF12" s="782"/>
      <c r="LKG12" s="777"/>
      <c r="LKH12" s="778"/>
      <c r="LKI12" s="779"/>
      <c r="LKJ12" s="780"/>
      <c r="LKK12" s="781"/>
      <c r="LKL12" s="782"/>
      <c r="LKM12" s="782"/>
      <c r="LKN12" s="777"/>
      <c r="LKO12" s="778"/>
      <c r="LKP12" s="779"/>
      <c r="LKQ12" s="780"/>
      <c r="LKR12" s="781"/>
      <c r="LKS12" s="782"/>
      <c r="LKT12" s="782"/>
      <c r="LKU12" s="777"/>
      <c r="LKV12" s="778"/>
      <c r="LKW12" s="779"/>
      <c r="LKX12" s="780"/>
      <c r="LKY12" s="781"/>
      <c r="LKZ12" s="782"/>
      <c r="LLA12" s="782"/>
      <c r="LLB12" s="777"/>
      <c r="LLC12" s="778"/>
      <c r="LLD12" s="779"/>
      <c r="LLE12" s="780"/>
      <c r="LLF12" s="781"/>
      <c r="LLG12" s="782"/>
      <c r="LLH12" s="782"/>
      <c r="LLI12" s="777"/>
      <c r="LLJ12" s="778"/>
      <c r="LLK12" s="779"/>
      <c r="LLL12" s="780"/>
      <c r="LLM12" s="781"/>
      <c r="LLN12" s="782"/>
      <c r="LLO12" s="782"/>
      <c r="LLP12" s="777"/>
      <c r="LLQ12" s="778"/>
      <c r="LLR12" s="779"/>
      <c r="LLS12" s="780"/>
      <c r="LLT12" s="781"/>
      <c r="LLU12" s="782"/>
      <c r="LLV12" s="782"/>
      <c r="LLW12" s="777"/>
      <c r="LLX12" s="778"/>
      <c r="LLY12" s="779"/>
      <c r="LLZ12" s="780"/>
      <c r="LMA12" s="781"/>
      <c r="LMB12" s="782"/>
      <c r="LMC12" s="782"/>
      <c r="LMD12" s="777"/>
      <c r="LME12" s="778"/>
      <c r="LMF12" s="779"/>
      <c r="LMG12" s="780"/>
      <c r="LMH12" s="781"/>
      <c r="LMI12" s="782"/>
      <c r="LMJ12" s="782"/>
      <c r="LMK12" s="777"/>
      <c r="LML12" s="778"/>
      <c r="LMM12" s="779"/>
      <c r="LMN12" s="780"/>
      <c r="LMO12" s="781"/>
      <c r="LMP12" s="782"/>
      <c r="LMQ12" s="782"/>
      <c r="LMR12" s="777"/>
      <c r="LMS12" s="778"/>
      <c r="LMT12" s="779"/>
      <c r="LMU12" s="780"/>
      <c r="LMV12" s="781"/>
      <c r="LMW12" s="782"/>
      <c r="LMX12" s="782"/>
      <c r="LMY12" s="777"/>
      <c r="LMZ12" s="778"/>
      <c r="LNA12" s="779"/>
      <c r="LNB12" s="780"/>
      <c r="LNC12" s="781"/>
      <c r="LND12" s="782"/>
      <c r="LNE12" s="782"/>
      <c r="LNF12" s="777"/>
      <c r="LNG12" s="778"/>
      <c r="LNH12" s="779"/>
      <c r="LNI12" s="780"/>
      <c r="LNJ12" s="781"/>
      <c r="LNK12" s="782"/>
      <c r="LNL12" s="782"/>
      <c r="LNM12" s="777"/>
      <c r="LNN12" s="778"/>
      <c r="LNO12" s="779"/>
      <c r="LNP12" s="780"/>
      <c r="LNQ12" s="781"/>
      <c r="LNR12" s="782"/>
      <c r="LNS12" s="782"/>
      <c r="LNT12" s="777"/>
      <c r="LNU12" s="778"/>
      <c r="LNV12" s="779"/>
      <c r="LNW12" s="780"/>
      <c r="LNX12" s="781"/>
      <c r="LNY12" s="782"/>
      <c r="LNZ12" s="782"/>
      <c r="LOA12" s="777"/>
      <c r="LOB12" s="778"/>
      <c r="LOC12" s="779"/>
      <c r="LOD12" s="780"/>
      <c r="LOE12" s="781"/>
      <c r="LOF12" s="782"/>
      <c r="LOG12" s="782"/>
      <c r="LOH12" s="777"/>
      <c r="LOI12" s="778"/>
      <c r="LOJ12" s="779"/>
      <c r="LOK12" s="780"/>
      <c r="LOL12" s="781"/>
      <c r="LOM12" s="782"/>
      <c r="LON12" s="782"/>
      <c r="LOO12" s="777"/>
      <c r="LOP12" s="778"/>
      <c r="LOQ12" s="779"/>
      <c r="LOR12" s="780"/>
      <c r="LOS12" s="781"/>
      <c r="LOT12" s="782"/>
      <c r="LOU12" s="782"/>
      <c r="LOV12" s="777"/>
      <c r="LOW12" s="778"/>
      <c r="LOX12" s="779"/>
      <c r="LOY12" s="780"/>
      <c r="LOZ12" s="781"/>
      <c r="LPA12" s="782"/>
      <c r="LPB12" s="782"/>
      <c r="LPC12" s="777"/>
      <c r="LPD12" s="778"/>
      <c r="LPE12" s="779"/>
      <c r="LPF12" s="780"/>
      <c r="LPG12" s="781"/>
      <c r="LPH12" s="782"/>
      <c r="LPI12" s="782"/>
      <c r="LPJ12" s="777"/>
      <c r="LPK12" s="778"/>
      <c r="LPL12" s="779"/>
      <c r="LPM12" s="780"/>
      <c r="LPN12" s="781"/>
      <c r="LPO12" s="782"/>
      <c r="LPP12" s="782"/>
      <c r="LPQ12" s="777"/>
      <c r="LPR12" s="778"/>
      <c r="LPS12" s="779"/>
      <c r="LPT12" s="780"/>
      <c r="LPU12" s="781"/>
      <c r="LPV12" s="782"/>
      <c r="LPW12" s="782"/>
      <c r="LPX12" s="777"/>
      <c r="LPY12" s="778"/>
      <c r="LPZ12" s="779"/>
      <c r="LQA12" s="780"/>
      <c r="LQB12" s="781"/>
      <c r="LQC12" s="782"/>
      <c r="LQD12" s="782"/>
      <c r="LQE12" s="777"/>
      <c r="LQF12" s="778"/>
      <c r="LQG12" s="779"/>
      <c r="LQH12" s="780"/>
      <c r="LQI12" s="781"/>
      <c r="LQJ12" s="782"/>
      <c r="LQK12" s="782"/>
      <c r="LQL12" s="777"/>
      <c r="LQM12" s="778"/>
      <c r="LQN12" s="779"/>
      <c r="LQO12" s="780"/>
      <c r="LQP12" s="781"/>
      <c r="LQQ12" s="782"/>
      <c r="LQR12" s="782"/>
      <c r="LQS12" s="777"/>
      <c r="LQT12" s="778"/>
      <c r="LQU12" s="779"/>
      <c r="LQV12" s="780"/>
      <c r="LQW12" s="781"/>
      <c r="LQX12" s="782"/>
      <c r="LQY12" s="782"/>
      <c r="LQZ12" s="777"/>
      <c r="LRA12" s="778"/>
      <c r="LRB12" s="779"/>
      <c r="LRC12" s="780"/>
      <c r="LRD12" s="781"/>
      <c r="LRE12" s="782"/>
      <c r="LRF12" s="782"/>
      <c r="LRG12" s="777"/>
      <c r="LRH12" s="778"/>
      <c r="LRI12" s="779"/>
      <c r="LRJ12" s="780"/>
      <c r="LRK12" s="781"/>
      <c r="LRL12" s="782"/>
      <c r="LRM12" s="782"/>
      <c r="LRN12" s="777"/>
      <c r="LRO12" s="778"/>
      <c r="LRP12" s="779"/>
      <c r="LRQ12" s="780"/>
      <c r="LRR12" s="781"/>
      <c r="LRS12" s="782"/>
      <c r="LRT12" s="782"/>
      <c r="LRU12" s="777"/>
      <c r="LRV12" s="778"/>
      <c r="LRW12" s="779"/>
      <c r="LRX12" s="780"/>
      <c r="LRY12" s="781"/>
      <c r="LRZ12" s="782"/>
      <c r="LSA12" s="782"/>
      <c r="LSB12" s="777"/>
      <c r="LSC12" s="778"/>
      <c r="LSD12" s="779"/>
      <c r="LSE12" s="780"/>
      <c r="LSF12" s="781"/>
      <c r="LSG12" s="782"/>
      <c r="LSH12" s="782"/>
      <c r="LSI12" s="777"/>
      <c r="LSJ12" s="778"/>
      <c r="LSK12" s="779"/>
      <c r="LSL12" s="780"/>
      <c r="LSM12" s="781"/>
      <c r="LSN12" s="782"/>
      <c r="LSO12" s="782"/>
      <c r="LSP12" s="777"/>
      <c r="LSQ12" s="778"/>
      <c r="LSR12" s="779"/>
      <c r="LSS12" s="780"/>
      <c r="LST12" s="781"/>
      <c r="LSU12" s="782"/>
      <c r="LSV12" s="782"/>
      <c r="LSW12" s="777"/>
      <c r="LSX12" s="778"/>
      <c r="LSY12" s="779"/>
      <c r="LSZ12" s="780"/>
      <c r="LTA12" s="781"/>
      <c r="LTB12" s="782"/>
      <c r="LTC12" s="782"/>
      <c r="LTD12" s="777"/>
      <c r="LTE12" s="778"/>
      <c r="LTF12" s="779"/>
      <c r="LTG12" s="780"/>
      <c r="LTH12" s="781"/>
      <c r="LTI12" s="782"/>
      <c r="LTJ12" s="782"/>
      <c r="LTK12" s="777"/>
      <c r="LTL12" s="778"/>
      <c r="LTM12" s="779"/>
      <c r="LTN12" s="780"/>
      <c r="LTO12" s="781"/>
      <c r="LTP12" s="782"/>
      <c r="LTQ12" s="782"/>
      <c r="LTR12" s="777"/>
      <c r="LTS12" s="778"/>
      <c r="LTT12" s="779"/>
      <c r="LTU12" s="780"/>
      <c r="LTV12" s="781"/>
      <c r="LTW12" s="782"/>
      <c r="LTX12" s="782"/>
      <c r="LTY12" s="777"/>
      <c r="LTZ12" s="778"/>
      <c r="LUA12" s="779"/>
      <c r="LUB12" s="780"/>
      <c r="LUC12" s="781"/>
      <c r="LUD12" s="782"/>
      <c r="LUE12" s="782"/>
      <c r="LUF12" s="777"/>
      <c r="LUG12" s="778"/>
      <c r="LUH12" s="779"/>
      <c r="LUI12" s="780"/>
      <c r="LUJ12" s="781"/>
      <c r="LUK12" s="782"/>
      <c r="LUL12" s="782"/>
      <c r="LUM12" s="777"/>
      <c r="LUN12" s="778"/>
      <c r="LUO12" s="779"/>
      <c r="LUP12" s="780"/>
      <c r="LUQ12" s="781"/>
      <c r="LUR12" s="782"/>
      <c r="LUS12" s="782"/>
      <c r="LUT12" s="777"/>
      <c r="LUU12" s="778"/>
      <c r="LUV12" s="779"/>
      <c r="LUW12" s="780"/>
      <c r="LUX12" s="781"/>
      <c r="LUY12" s="782"/>
      <c r="LUZ12" s="782"/>
      <c r="LVA12" s="777"/>
      <c r="LVB12" s="778"/>
      <c r="LVC12" s="779"/>
      <c r="LVD12" s="780"/>
      <c r="LVE12" s="781"/>
      <c r="LVF12" s="782"/>
      <c r="LVG12" s="782"/>
      <c r="LVH12" s="777"/>
      <c r="LVI12" s="778"/>
      <c r="LVJ12" s="779"/>
      <c r="LVK12" s="780"/>
      <c r="LVL12" s="781"/>
      <c r="LVM12" s="782"/>
      <c r="LVN12" s="782"/>
      <c r="LVO12" s="777"/>
      <c r="LVP12" s="778"/>
      <c r="LVQ12" s="779"/>
      <c r="LVR12" s="780"/>
      <c r="LVS12" s="781"/>
      <c r="LVT12" s="782"/>
      <c r="LVU12" s="782"/>
      <c r="LVV12" s="777"/>
      <c r="LVW12" s="778"/>
      <c r="LVX12" s="779"/>
      <c r="LVY12" s="780"/>
      <c r="LVZ12" s="781"/>
      <c r="LWA12" s="782"/>
      <c r="LWB12" s="782"/>
      <c r="LWC12" s="777"/>
      <c r="LWD12" s="778"/>
      <c r="LWE12" s="779"/>
      <c r="LWF12" s="780"/>
      <c r="LWG12" s="781"/>
      <c r="LWH12" s="782"/>
      <c r="LWI12" s="782"/>
      <c r="LWJ12" s="777"/>
      <c r="LWK12" s="778"/>
      <c r="LWL12" s="779"/>
      <c r="LWM12" s="780"/>
      <c r="LWN12" s="781"/>
      <c r="LWO12" s="782"/>
      <c r="LWP12" s="782"/>
      <c r="LWQ12" s="777"/>
      <c r="LWR12" s="778"/>
      <c r="LWS12" s="779"/>
      <c r="LWT12" s="780"/>
      <c r="LWU12" s="781"/>
      <c r="LWV12" s="782"/>
      <c r="LWW12" s="782"/>
      <c r="LWX12" s="777"/>
      <c r="LWY12" s="778"/>
      <c r="LWZ12" s="779"/>
      <c r="LXA12" s="780"/>
      <c r="LXB12" s="781"/>
      <c r="LXC12" s="782"/>
      <c r="LXD12" s="782"/>
      <c r="LXE12" s="777"/>
      <c r="LXF12" s="778"/>
      <c r="LXG12" s="779"/>
      <c r="LXH12" s="780"/>
      <c r="LXI12" s="781"/>
      <c r="LXJ12" s="782"/>
      <c r="LXK12" s="782"/>
      <c r="LXL12" s="777"/>
      <c r="LXM12" s="778"/>
      <c r="LXN12" s="779"/>
      <c r="LXO12" s="780"/>
      <c r="LXP12" s="781"/>
      <c r="LXQ12" s="782"/>
      <c r="LXR12" s="782"/>
      <c r="LXS12" s="777"/>
      <c r="LXT12" s="778"/>
      <c r="LXU12" s="779"/>
      <c r="LXV12" s="780"/>
      <c r="LXW12" s="781"/>
      <c r="LXX12" s="782"/>
      <c r="LXY12" s="782"/>
      <c r="LXZ12" s="777"/>
      <c r="LYA12" s="778"/>
      <c r="LYB12" s="779"/>
      <c r="LYC12" s="780"/>
      <c r="LYD12" s="781"/>
      <c r="LYE12" s="782"/>
      <c r="LYF12" s="782"/>
      <c r="LYG12" s="777"/>
      <c r="LYH12" s="778"/>
      <c r="LYI12" s="779"/>
      <c r="LYJ12" s="780"/>
      <c r="LYK12" s="781"/>
      <c r="LYL12" s="782"/>
      <c r="LYM12" s="782"/>
      <c r="LYN12" s="777"/>
      <c r="LYO12" s="778"/>
      <c r="LYP12" s="779"/>
      <c r="LYQ12" s="780"/>
      <c r="LYR12" s="781"/>
      <c r="LYS12" s="782"/>
      <c r="LYT12" s="782"/>
      <c r="LYU12" s="777"/>
      <c r="LYV12" s="778"/>
      <c r="LYW12" s="779"/>
      <c r="LYX12" s="780"/>
      <c r="LYY12" s="781"/>
      <c r="LYZ12" s="782"/>
      <c r="LZA12" s="782"/>
      <c r="LZB12" s="777"/>
      <c r="LZC12" s="778"/>
      <c r="LZD12" s="779"/>
      <c r="LZE12" s="780"/>
      <c r="LZF12" s="781"/>
      <c r="LZG12" s="782"/>
      <c r="LZH12" s="782"/>
      <c r="LZI12" s="777"/>
      <c r="LZJ12" s="778"/>
      <c r="LZK12" s="779"/>
      <c r="LZL12" s="780"/>
      <c r="LZM12" s="781"/>
      <c r="LZN12" s="782"/>
      <c r="LZO12" s="782"/>
      <c r="LZP12" s="777"/>
      <c r="LZQ12" s="778"/>
      <c r="LZR12" s="779"/>
      <c r="LZS12" s="780"/>
      <c r="LZT12" s="781"/>
      <c r="LZU12" s="782"/>
      <c r="LZV12" s="782"/>
      <c r="LZW12" s="777"/>
      <c r="LZX12" s="778"/>
      <c r="LZY12" s="779"/>
      <c r="LZZ12" s="780"/>
      <c r="MAA12" s="781"/>
      <c r="MAB12" s="782"/>
      <c r="MAC12" s="782"/>
      <c r="MAD12" s="777"/>
      <c r="MAE12" s="778"/>
      <c r="MAF12" s="779"/>
      <c r="MAG12" s="780"/>
      <c r="MAH12" s="781"/>
      <c r="MAI12" s="782"/>
      <c r="MAJ12" s="782"/>
      <c r="MAK12" s="777"/>
      <c r="MAL12" s="778"/>
      <c r="MAM12" s="779"/>
      <c r="MAN12" s="780"/>
      <c r="MAO12" s="781"/>
      <c r="MAP12" s="782"/>
      <c r="MAQ12" s="782"/>
      <c r="MAR12" s="777"/>
      <c r="MAS12" s="778"/>
      <c r="MAT12" s="779"/>
      <c r="MAU12" s="780"/>
      <c r="MAV12" s="781"/>
      <c r="MAW12" s="782"/>
      <c r="MAX12" s="782"/>
      <c r="MAY12" s="777"/>
      <c r="MAZ12" s="778"/>
      <c r="MBA12" s="779"/>
      <c r="MBB12" s="780"/>
      <c r="MBC12" s="781"/>
      <c r="MBD12" s="782"/>
      <c r="MBE12" s="782"/>
      <c r="MBF12" s="777"/>
      <c r="MBG12" s="778"/>
      <c r="MBH12" s="779"/>
      <c r="MBI12" s="780"/>
      <c r="MBJ12" s="781"/>
      <c r="MBK12" s="782"/>
      <c r="MBL12" s="782"/>
      <c r="MBM12" s="777"/>
      <c r="MBN12" s="778"/>
      <c r="MBO12" s="779"/>
      <c r="MBP12" s="780"/>
      <c r="MBQ12" s="781"/>
      <c r="MBR12" s="782"/>
      <c r="MBS12" s="782"/>
      <c r="MBT12" s="777"/>
      <c r="MBU12" s="778"/>
      <c r="MBV12" s="779"/>
      <c r="MBW12" s="780"/>
      <c r="MBX12" s="781"/>
      <c r="MBY12" s="782"/>
      <c r="MBZ12" s="782"/>
      <c r="MCA12" s="777"/>
      <c r="MCB12" s="778"/>
      <c r="MCC12" s="779"/>
      <c r="MCD12" s="780"/>
      <c r="MCE12" s="781"/>
      <c r="MCF12" s="782"/>
      <c r="MCG12" s="782"/>
      <c r="MCH12" s="777"/>
      <c r="MCI12" s="778"/>
      <c r="MCJ12" s="779"/>
      <c r="MCK12" s="780"/>
      <c r="MCL12" s="781"/>
      <c r="MCM12" s="782"/>
      <c r="MCN12" s="782"/>
      <c r="MCO12" s="777"/>
      <c r="MCP12" s="778"/>
      <c r="MCQ12" s="779"/>
      <c r="MCR12" s="780"/>
      <c r="MCS12" s="781"/>
      <c r="MCT12" s="782"/>
      <c r="MCU12" s="782"/>
      <c r="MCV12" s="777"/>
      <c r="MCW12" s="778"/>
      <c r="MCX12" s="779"/>
      <c r="MCY12" s="780"/>
      <c r="MCZ12" s="781"/>
      <c r="MDA12" s="782"/>
      <c r="MDB12" s="782"/>
      <c r="MDC12" s="777"/>
      <c r="MDD12" s="778"/>
      <c r="MDE12" s="779"/>
      <c r="MDF12" s="780"/>
      <c r="MDG12" s="781"/>
      <c r="MDH12" s="782"/>
      <c r="MDI12" s="782"/>
      <c r="MDJ12" s="777"/>
      <c r="MDK12" s="778"/>
      <c r="MDL12" s="779"/>
      <c r="MDM12" s="780"/>
      <c r="MDN12" s="781"/>
      <c r="MDO12" s="782"/>
      <c r="MDP12" s="782"/>
      <c r="MDQ12" s="777"/>
      <c r="MDR12" s="778"/>
      <c r="MDS12" s="779"/>
      <c r="MDT12" s="780"/>
      <c r="MDU12" s="781"/>
      <c r="MDV12" s="782"/>
      <c r="MDW12" s="782"/>
      <c r="MDX12" s="777"/>
      <c r="MDY12" s="778"/>
      <c r="MDZ12" s="779"/>
      <c r="MEA12" s="780"/>
      <c r="MEB12" s="781"/>
      <c r="MEC12" s="782"/>
      <c r="MED12" s="782"/>
      <c r="MEE12" s="777"/>
      <c r="MEF12" s="778"/>
      <c r="MEG12" s="779"/>
      <c r="MEH12" s="780"/>
      <c r="MEI12" s="781"/>
      <c r="MEJ12" s="782"/>
      <c r="MEK12" s="782"/>
      <c r="MEL12" s="777"/>
      <c r="MEM12" s="778"/>
      <c r="MEN12" s="779"/>
      <c r="MEO12" s="780"/>
      <c r="MEP12" s="781"/>
      <c r="MEQ12" s="782"/>
      <c r="MER12" s="782"/>
      <c r="MES12" s="777"/>
      <c r="MET12" s="778"/>
      <c r="MEU12" s="779"/>
      <c r="MEV12" s="780"/>
      <c r="MEW12" s="781"/>
      <c r="MEX12" s="782"/>
      <c r="MEY12" s="782"/>
      <c r="MEZ12" s="777"/>
      <c r="MFA12" s="778"/>
      <c r="MFB12" s="779"/>
      <c r="MFC12" s="780"/>
      <c r="MFD12" s="781"/>
      <c r="MFE12" s="782"/>
      <c r="MFF12" s="782"/>
      <c r="MFG12" s="777"/>
      <c r="MFH12" s="778"/>
      <c r="MFI12" s="779"/>
      <c r="MFJ12" s="780"/>
      <c r="MFK12" s="781"/>
      <c r="MFL12" s="782"/>
      <c r="MFM12" s="782"/>
      <c r="MFN12" s="777"/>
      <c r="MFO12" s="778"/>
      <c r="MFP12" s="779"/>
      <c r="MFQ12" s="780"/>
      <c r="MFR12" s="781"/>
      <c r="MFS12" s="782"/>
      <c r="MFT12" s="782"/>
      <c r="MFU12" s="777"/>
      <c r="MFV12" s="778"/>
      <c r="MFW12" s="779"/>
      <c r="MFX12" s="780"/>
      <c r="MFY12" s="781"/>
      <c r="MFZ12" s="782"/>
      <c r="MGA12" s="782"/>
      <c r="MGB12" s="777"/>
      <c r="MGC12" s="778"/>
      <c r="MGD12" s="779"/>
      <c r="MGE12" s="780"/>
      <c r="MGF12" s="781"/>
      <c r="MGG12" s="782"/>
      <c r="MGH12" s="782"/>
      <c r="MGI12" s="777"/>
      <c r="MGJ12" s="778"/>
      <c r="MGK12" s="779"/>
      <c r="MGL12" s="780"/>
      <c r="MGM12" s="781"/>
      <c r="MGN12" s="782"/>
      <c r="MGO12" s="782"/>
      <c r="MGP12" s="777"/>
      <c r="MGQ12" s="778"/>
      <c r="MGR12" s="779"/>
      <c r="MGS12" s="780"/>
      <c r="MGT12" s="781"/>
      <c r="MGU12" s="782"/>
      <c r="MGV12" s="782"/>
      <c r="MGW12" s="777"/>
      <c r="MGX12" s="778"/>
      <c r="MGY12" s="779"/>
      <c r="MGZ12" s="780"/>
      <c r="MHA12" s="781"/>
      <c r="MHB12" s="782"/>
      <c r="MHC12" s="782"/>
      <c r="MHD12" s="777"/>
      <c r="MHE12" s="778"/>
      <c r="MHF12" s="779"/>
      <c r="MHG12" s="780"/>
      <c r="MHH12" s="781"/>
      <c r="MHI12" s="782"/>
      <c r="MHJ12" s="782"/>
      <c r="MHK12" s="777"/>
      <c r="MHL12" s="778"/>
      <c r="MHM12" s="779"/>
      <c r="MHN12" s="780"/>
      <c r="MHO12" s="781"/>
      <c r="MHP12" s="782"/>
      <c r="MHQ12" s="782"/>
      <c r="MHR12" s="777"/>
      <c r="MHS12" s="778"/>
      <c r="MHT12" s="779"/>
      <c r="MHU12" s="780"/>
      <c r="MHV12" s="781"/>
      <c r="MHW12" s="782"/>
      <c r="MHX12" s="782"/>
      <c r="MHY12" s="777"/>
      <c r="MHZ12" s="778"/>
      <c r="MIA12" s="779"/>
      <c r="MIB12" s="780"/>
      <c r="MIC12" s="781"/>
      <c r="MID12" s="782"/>
      <c r="MIE12" s="782"/>
      <c r="MIF12" s="777"/>
      <c r="MIG12" s="778"/>
      <c r="MIH12" s="779"/>
      <c r="MII12" s="780"/>
      <c r="MIJ12" s="781"/>
      <c r="MIK12" s="782"/>
      <c r="MIL12" s="782"/>
      <c r="MIM12" s="777"/>
      <c r="MIN12" s="778"/>
      <c r="MIO12" s="779"/>
      <c r="MIP12" s="780"/>
      <c r="MIQ12" s="781"/>
      <c r="MIR12" s="782"/>
      <c r="MIS12" s="782"/>
      <c r="MIT12" s="777"/>
      <c r="MIU12" s="778"/>
      <c r="MIV12" s="779"/>
      <c r="MIW12" s="780"/>
      <c r="MIX12" s="781"/>
      <c r="MIY12" s="782"/>
      <c r="MIZ12" s="782"/>
      <c r="MJA12" s="777"/>
      <c r="MJB12" s="778"/>
      <c r="MJC12" s="779"/>
      <c r="MJD12" s="780"/>
      <c r="MJE12" s="781"/>
      <c r="MJF12" s="782"/>
      <c r="MJG12" s="782"/>
      <c r="MJH12" s="777"/>
      <c r="MJI12" s="778"/>
      <c r="MJJ12" s="779"/>
      <c r="MJK12" s="780"/>
      <c r="MJL12" s="781"/>
      <c r="MJM12" s="782"/>
      <c r="MJN12" s="782"/>
      <c r="MJO12" s="777"/>
      <c r="MJP12" s="778"/>
      <c r="MJQ12" s="779"/>
      <c r="MJR12" s="780"/>
      <c r="MJS12" s="781"/>
      <c r="MJT12" s="782"/>
      <c r="MJU12" s="782"/>
      <c r="MJV12" s="777"/>
      <c r="MJW12" s="778"/>
      <c r="MJX12" s="779"/>
      <c r="MJY12" s="780"/>
      <c r="MJZ12" s="781"/>
      <c r="MKA12" s="782"/>
      <c r="MKB12" s="782"/>
      <c r="MKC12" s="777"/>
      <c r="MKD12" s="778"/>
      <c r="MKE12" s="779"/>
      <c r="MKF12" s="780"/>
      <c r="MKG12" s="781"/>
      <c r="MKH12" s="782"/>
      <c r="MKI12" s="782"/>
      <c r="MKJ12" s="777"/>
      <c r="MKK12" s="778"/>
      <c r="MKL12" s="779"/>
      <c r="MKM12" s="780"/>
      <c r="MKN12" s="781"/>
      <c r="MKO12" s="782"/>
      <c r="MKP12" s="782"/>
      <c r="MKQ12" s="777"/>
      <c r="MKR12" s="778"/>
      <c r="MKS12" s="779"/>
      <c r="MKT12" s="780"/>
      <c r="MKU12" s="781"/>
      <c r="MKV12" s="782"/>
      <c r="MKW12" s="782"/>
      <c r="MKX12" s="777"/>
      <c r="MKY12" s="778"/>
      <c r="MKZ12" s="779"/>
      <c r="MLA12" s="780"/>
      <c r="MLB12" s="781"/>
      <c r="MLC12" s="782"/>
      <c r="MLD12" s="782"/>
      <c r="MLE12" s="777"/>
      <c r="MLF12" s="778"/>
      <c r="MLG12" s="779"/>
      <c r="MLH12" s="780"/>
      <c r="MLI12" s="781"/>
      <c r="MLJ12" s="782"/>
      <c r="MLK12" s="782"/>
      <c r="MLL12" s="777"/>
      <c r="MLM12" s="778"/>
      <c r="MLN12" s="779"/>
      <c r="MLO12" s="780"/>
      <c r="MLP12" s="781"/>
      <c r="MLQ12" s="782"/>
      <c r="MLR12" s="782"/>
      <c r="MLS12" s="777"/>
      <c r="MLT12" s="778"/>
      <c r="MLU12" s="779"/>
      <c r="MLV12" s="780"/>
      <c r="MLW12" s="781"/>
      <c r="MLX12" s="782"/>
      <c r="MLY12" s="782"/>
      <c r="MLZ12" s="777"/>
      <c r="MMA12" s="778"/>
      <c r="MMB12" s="779"/>
      <c r="MMC12" s="780"/>
      <c r="MMD12" s="781"/>
      <c r="MME12" s="782"/>
      <c r="MMF12" s="782"/>
      <c r="MMG12" s="777"/>
      <c r="MMH12" s="778"/>
      <c r="MMI12" s="779"/>
      <c r="MMJ12" s="780"/>
      <c r="MMK12" s="781"/>
      <c r="MML12" s="782"/>
      <c r="MMM12" s="782"/>
      <c r="MMN12" s="777"/>
      <c r="MMO12" s="778"/>
      <c r="MMP12" s="779"/>
      <c r="MMQ12" s="780"/>
      <c r="MMR12" s="781"/>
      <c r="MMS12" s="782"/>
      <c r="MMT12" s="782"/>
      <c r="MMU12" s="777"/>
      <c r="MMV12" s="778"/>
      <c r="MMW12" s="779"/>
      <c r="MMX12" s="780"/>
      <c r="MMY12" s="781"/>
      <c r="MMZ12" s="782"/>
      <c r="MNA12" s="782"/>
      <c r="MNB12" s="777"/>
      <c r="MNC12" s="778"/>
      <c r="MND12" s="779"/>
      <c r="MNE12" s="780"/>
      <c r="MNF12" s="781"/>
      <c r="MNG12" s="782"/>
      <c r="MNH12" s="782"/>
      <c r="MNI12" s="777"/>
      <c r="MNJ12" s="778"/>
      <c r="MNK12" s="779"/>
      <c r="MNL12" s="780"/>
      <c r="MNM12" s="781"/>
      <c r="MNN12" s="782"/>
      <c r="MNO12" s="782"/>
      <c r="MNP12" s="777"/>
      <c r="MNQ12" s="778"/>
      <c r="MNR12" s="779"/>
      <c r="MNS12" s="780"/>
      <c r="MNT12" s="781"/>
      <c r="MNU12" s="782"/>
      <c r="MNV12" s="782"/>
      <c r="MNW12" s="777"/>
      <c r="MNX12" s="778"/>
      <c r="MNY12" s="779"/>
      <c r="MNZ12" s="780"/>
      <c r="MOA12" s="781"/>
      <c r="MOB12" s="782"/>
      <c r="MOC12" s="782"/>
      <c r="MOD12" s="777"/>
      <c r="MOE12" s="778"/>
      <c r="MOF12" s="779"/>
      <c r="MOG12" s="780"/>
      <c r="MOH12" s="781"/>
      <c r="MOI12" s="782"/>
      <c r="MOJ12" s="782"/>
      <c r="MOK12" s="777"/>
      <c r="MOL12" s="778"/>
      <c r="MOM12" s="779"/>
      <c r="MON12" s="780"/>
      <c r="MOO12" s="781"/>
      <c r="MOP12" s="782"/>
      <c r="MOQ12" s="782"/>
      <c r="MOR12" s="777"/>
      <c r="MOS12" s="778"/>
      <c r="MOT12" s="779"/>
      <c r="MOU12" s="780"/>
      <c r="MOV12" s="781"/>
      <c r="MOW12" s="782"/>
      <c r="MOX12" s="782"/>
      <c r="MOY12" s="777"/>
      <c r="MOZ12" s="778"/>
      <c r="MPA12" s="779"/>
      <c r="MPB12" s="780"/>
      <c r="MPC12" s="781"/>
      <c r="MPD12" s="782"/>
      <c r="MPE12" s="782"/>
      <c r="MPF12" s="777"/>
      <c r="MPG12" s="778"/>
      <c r="MPH12" s="779"/>
      <c r="MPI12" s="780"/>
      <c r="MPJ12" s="781"/>
      <c r="MPK12" s="782"/>
      <c r="MPL12" s="782"/>
      <c r="MPM12" s="777"/>
      <c r="MPN12" s="778"/>
      <c r="MPO12" s="779"/>
      <c r="MPP12" s="780"/>
      <c r="MPQ12" s="781"/>
      <c r="MPR12" s="782"/>
      <c r="MPS12" s="782"/>
      <c r="MPT12" s="777"/>
      <c r="MPU12" s="778"/>
      <c r="MPV12" s="779"/>
      <c r="MPW12" s="780"/>
      <c r="MPX12" s="781"/>
      <c r="MPY12" s="782"/>
      <c r="MPZ12" s="782"/>
      <c r="MQA12" s="777"/>
      <c r="MQB12" s="778"/>
      <c r="MQC12" s="779"/>
      <c r="MQD12" s="780"/>
      <c r="MQE12" s="781"/>
      <c r="MQF12" s="782"/>
      <c r="MQG12" s="782"/>
      <c r="MQH12" s="777"/>
      <c r="MQI12" s="778"/>
      <c r="MQJ12" s="779"/>
      <c r="MQK12" s="780"/>
      <c r="MQL12" s="781"/>
      <c r="MQM12" s="782"/>
      <c r="MQN12" s="782"/>
      <c r="MQO12" s="777"/>
      <c r="MQP12" s="778"/>
      <c r="MQQ12" s="779"/>
      <c r="MQR12" s="780"/>
      <c r="MQS12" s="781"/>
      <c r="MQT12" s="782"/>
      <c r="MQU12" s="782"/>
      <c r="MQV12" s="777"/>
      <c r="MQW12" s="778"/>
      <c r="MQX12" s="779"/>
      <c r="MQY12" s="780"/>
      <c r="MQZ12" s="781"/>
      <c r="MRA12" s="782"/>
      <c r="MRB12" s="782"/>
      <c r="MRC12" s="777"/>
      <c r="MRD12" s="778"/>
      <c r="MRE12" s="779"/>
      <c r="MRF12" s="780"/>
      <c r="MRG12" s="781"/>
      <c r="MRH12" s="782"/>
      <c r="MRI12" s="782"/>
      <c r="MRJ12" s="777"/>
      <c r="MRK12" s="778"/>
      <c r="MRL12" s="779"/>
      <c r="MRM12" s="780"/>
      <c r="MRN12" s="781"/>
      <c r="MRO12" s="782"/>
      <c r="MRP12" s="782"/>
      <c r="MRQ12" s="777"/>
      <c r="MRR12" s="778"/>
      <c r="MRS12" s="779"/>
      <c r="MRT12" s="780"/>
      <c r="MRU12" s="781"/>
      <c r="MRV12" s="782"/>
      <c r="MRW12" s="782"/>
      <c r="MRX12" s="777"/>
      <c r="MRY12" s="778"/>
      <c r="MRZ12" s="779"/>
      <c r="MSA12" s="780"/>
      <c r="MSB12" s="781"/>
      <c r="MSC12" s="782"/>
      <c r="MSD12" s="782"/>
      <c r="MSE12" s="777"/>
      <c r="MSF12" s="778"/>
      <c r="MSG12" s="779"/>
      <c r="MSH12" s="780"/>
      <c r="MSI12" s="781"/>
      <c r="MSJ12" s="782"/>
      <c r="MSK12" s="782"/>
      <c r="MSL12" s="777"/>
      <c r="MSM12" s="778"/>
      <c r="MSN12" s="779"/>
      <c r="MSO12" s="780"/>
      <c r="MSP12" s="781"/>
      <c r="MSQ12" s="782"/>
      <c r="MSR12" s="782"/>
      <c r="MSS12" s="777"/>
      <c r="MST12" s="778"/>
      <c r="MSU12" s="779"/>
      <c r="MSV12" s="780"/>
      <c r="MSW12" s="781"/>
      <c r="MSX12" s="782"/>
      <c r="MSY12" s="782"/>
      <c r="MSZ12" s="777"/>
      <c r="MTA12" s="778"/>
      <c r="MTB12" s="779"/>
      <c r="MTC12" s="780"/>
      <c r="MTD12" s="781"/>
      <c r="MTE12" s="782"/>
      <c r="MTF12" s="782"/>
      <c r="MTG12" s="777"/>
      <c r="MTH12" s="778"/>
      <c r="MTI12" s="779"/>
      <c r="MTJ12" s="780"/>
      <c r="MTK12" s="781"/>
      <c r="MTL12" s="782"/>
      <c r="MTM12" s="782"/>
      <c r="MTN12" s="777"/>
      <c r="MTO12" s="778"/>
      <c r="MTP12" s="779"/>
      <c r="MTQ12" s="780"/>
      <c r="MTR12" s="781"/>
      <c r="MTS12" s="782"/>
      <c r="MTT12" s="782"/>
      <c r="MTU12" s="777"/>
      <c r="MTV12" s="778"/>
      <c r="MTW12" s="779"/>
      <c r="MTX12" s="780"/>
      <c r="MTY12" s="781"/>
      <c r="MTZ12" s="782"/>
      <c r="MUA12" s="782"/>
      <c r="MUB12" s="777"/>
      <c r="MUC12" s="778"/>
      <c r="MUD12" s="779"/>
      <c r="MUE12" s="780"/>
      <c r="MUF12" s="781"/>
      <c r="MUG12" s="782"/>
      <c r="MUH12" s="782"/>
      <c r="MUI12" s="777"/>
      <c r="MUJ12" s="778"/>
      <c r="MUK12" s="779"/>
      <c r="MUL12" s="780"/>
      <c r="MUM12" s="781"/>
      <c r="MUN12" s="782"/>
      <c r="MUO12" s="782"/>
      <c r="MUP12" s="777"/>
      <c r="MUQ12" s="778"/>
      <c r="MUR12" s="779"/>
      <c r="MUS12" s="780"/>
      <c r="MUT12" s="781"/>
      <c r="MUU12" s="782"/>
      <c r="MUV12" s="782"/>
      <c r="MUW12" s="777"/>
      <c r="MUX12" s="778"/>
      <c r="MUY12" s="779"/>
      <c r="MUZ12" s="780"/>
      <c r="MVA12" s="781"/>
      <c r="MVB12" s="782"/>
      <c r="MVC12" s="782"/>
      <c r="MVD12" s="777"/>
      <c r="MVE12" s="778"/>
      <c r="MVF12" s="779"/>
      <c r="MVG12" s="780"/>
      <c r="MVH12" s="781"/>
      <c r="MVI12" s="782"/>
      <c r="MVJ12" s="782"/>
      <c r="MVK12" s="777"/>
      <c r="MVL12" s="778"/>
      <c r="MVM12" s="779"/>
      <c r="MVN12" s="780"/>
      <c r="MVO12" s="781"/>
      <c r="MVP12" s="782"/>
      <c r="MVQ12" s="782"/>
      <c r="MVR12" s="777"/>
      <c r="MVS12" s="778"/>
      <c r="MVT12" s="779"/>
      <c r="MVU12" s="780"/>
      <c r="MVV12" s="781"/>
      <c r="MVW12" s="782"/>
      <c r="MVX12" s="782"/>
      <c r="MVY12" s="777"/>
      <c r="MVZ12" s="778"/>
      <c r="MWA12" s="779"/>
      <c r="MWB12" s="780"/>
      <c r="MWC12" s="781"/>
      <c r="MWD12" s="782"/>
      <c r="MWE12" s="782"/>
      <c r="MWF12" s="777"/>
      <c r="MWG12" s="778"/>
      <c r="MWH12" s="779"/>
      <c r="MWI12" s="780"/>
      <c r="MWJ12" s="781"/>
      <c r="MWK12" s="782"/>
      <c r="MWL12" s="782"/>
      <c r="MWM12" s="777"/>
      <c r="MWN12" s="778"/>
      <c r="MWO12" s="779"/>
      <c r="MWP12" s="780"/>
      <c r="MWQ12" s="781"/>
      <c r="MWR12" s="782"/>
      <c r="MWS12" s="782"/>
      <c r="MWT12" s="777"/>
      <c r="MWU12" s="778"/>
      <c r="MWV12" s="779"/>
      <c r="MWW12" s="780"/>
      <c r="MWX12" s="781"/>
      <c r="MWY12" s="782"/>
      <c r="MWZ12" s="782"/>
      <c r="MXA12" s="777"/>
      <c r="MXB12" s="778"/>
      <c r="MXC12" s="779"/>
      <c r="MXD12" s="780"/>
      <c r="MXE12" s="781"/>
      <c r="MXF12" s="782"/>
      <c r="MXG12" s="782"/>
      <c r="MXH12" s="777"/>
      <c r="MXI12" s="778"/>
      <c r="MXJ12" s="779"/>
      <c r="MXK12" s="780"/>
      <c r="MXL12" s="781"/>
      <c r="MXM12" s="782"/>
      <c r="MXN12" s="782"/>
      <c r="MXO12" s="777"/>
      <c r="MXP12" s="778"/>
      <c r="MXQ12" s="779"/>
      <c r="MXR12" s="780"/>
      <c r="MXS12" s="781"/>
      <c r="MXT12" s="782"/>
      <c r="MXU12" s="782"/>
      <c r="MXV12" s="777"/>
      <c r="MXW12" s="778"/>
      <c r="MXX12" s="779"/>
      <c r="MXY12" s="780"/>
      <c r="MXZ12" s="781"/>
      <c r="MYA12" s="782"/>
      <c r="MYB12" s="782"/>
      <c r="MYC12" s="777"/>
      <c r="MYD12" s="778"/>
      <c r="MYE12" s="779"/>
      <c r="MYF12" s="780"/>
      <c r="MYG12" s="781"/>
      <c r="MYH12" s="782"/>
      <c r="MYI12" s="782"/>
      <c r="MYJ12" s="777"/>
      <c r="MYK12" s="778"/>
      <c r="MYL12" s="779"/>
      <c r="MYM12" s="780"/>
      <c r="MYN12" s="781"/>
      <c r="MYO12" s="782"/>
      <c r="MYP12" s="782"/>
      <c r="MYQ12" s="777"/>
      <c r="MYR12" s="778"/>
      <c r="MYS12" s="779"/>
      <c r="MYT12" s="780"/>
      <c r="MYU12" s="781"/>
      <c r="MYV12" s="782"/>
      <c r="MYW12" s="782"/>
      <c r="MYX12" s="777"/>
      <c r="MYY12" s="778"/>
      <c r="MYZ12" s="779"/>
      <c r="MZA12" s="780"/>
      <c r="MZB12" s="781"/>
      <c r="MZC12" s="782"/>
      <c r="MZD12" s="782"/>
      <c r="MZE12" s="777"/>
      <c r="MZF12" s="778"/>
      <c r="MZG12" s="779"/>
      <c r="MZH12" s="780"/>
      <c r="MZI12" s="781"/>
      <c r="MZJ12" s="782"/>
      <c r="MZK12" s="782"/>
      <c r="MZL12" s="777"/>
      <c r="MZM12" s="778"/>
      <c r="MZN12" s="779"/>
      <c r="MZO12" s="780"/>
      <c r="MZP12" s="781"/>
      <c r="MZQ12" s="782"/>
      <c r="MZR12" s="782"/>
      <c r="MZS12" s="777"/>
      <c r="MZT12" s="778"/>
      <c r="MZU12" s="779"/>
      <c r="MZV12" s="780"/>
      <c r="MZW12" s="781"/>
      <c r="MZX12" s="782"/>
      <c r="MZY12" s="782"/>
      <c r="MZZ12" s="777"/>
      <c r="NAA12" s="778"/>
      <c r="NAB12" s="779"/>
      <c r="NAC12" s="780"/>
      <c r="NAD12" s="781"/>
      <c r="NAE12" s="782"/>
      <c r="NAF12" s="782"/>
      <c r="NAG12" s="777"/>
      <c r="NAH12" s="778"/>
      <c r="NAI12" s="779"/>
      <c r="NAJ12" s="780"/>
      <c r="NAK12" s="781"/>
      <c r="NAL12" s="782"/>
      <c r="NAM12" s="782"/>
      <c r="NAN12" s="777"/>
      <c r="NAO12" s="778"/>
      <c r="NAP12" s="779"/>
      <c r="NAQ12" s="780"/>
      <c r="NAR12" s="781"/>
      <c r="NAS12" s="782"/>
      <c r="NAT12" s="782"/>
      <c r="NAU12" s="777"/>
      <c r="NAV12" s="778"/>
      <c r="NAW12" s="779"/>
      <c r="NAX12" s="780"/>
      <c r="NAY12" s="781"/>
      <c r="NAZ12" s="782"/>
      <c r="NBA12" s="782"/>
      <c r="NBB12" s="777"/>
      <c r="NBC12" s="778"/>
      <c r="NBD12" s="779"/>
      <c r="NBE12" s="780"/>
      <c r="NBF12" s="781"/>
      <c r="NBG12" s="782"/>
      <c r="NBH12" s="782"/>
      <c r="NBI12" s="777"/>
      <c r="NBJ12" s="778"/>
      <c r="NBK12" s="779"/>
      <c r="NBL12" s="780"/>
      <c r="NBM12" s="781"/>
      <c r="NBN12" s="782"/>
      <c r="NBO12" s="782"/>
      <c r="NBP12" s="777"/>
      <c r="NBQ12" s="778"/>
      <c r="NBR12" s="779"/>
      <c r="NBS12" s="780"/>
      <c r="NBT12" s="781"/>
      <c r="NBU12" s="782"/>
      <c r="NBV12" s="782"/>
      <c r="NBW12" s="777"/>
      <c r="NBX12" s="778"/>
      <c r="NBY12" s="779"/>
      <c r="NBZ12" s="780"/>
      <c r="NCA12" s="781"/>
      <c r="NCB12" s="782"/>
      <c r="NCC12" s="782"/>
      <c r="NCD12" s="777"/>
      <c r="NCE12" s="778"/>
      <c r="NCF12" s="779"/>
      <c r="NCG12" s="780"/>
      <c r="NCH12" s="781"/>
      <c r="NCI12" s="782"/>
      <c r="NCJ12" s="782"/>
      <c r="NCK12" s="777"/>
      <c r="NCL12" s="778"/>
      <c r="NCM12" s="779"/>
      <c r="NCN12" s="780"/>
      <c r="NCO12" s="781"/>
      <c r="NCP12" s="782"/>
      <c r="NCQ12" s="782"/>
      <c r="NCR12" s="777"/>
      <c r="NCS12" s="778"/>
      <c r="NCT12" s="779"/>
      <c r="NCU12" s="780"/>
      <c r="NCV12" s="781"/>
      <c r="NCW12" s="782"/>
      <c r="NCX12" s="782"/>
      <c r="NCY12" s="777"/>
      <c r="NCZ12" s="778"/>
      <c r="NDA12" s="779"/>
      <c r="NDB12" s="780"/>
      <c r="NDC12" s="781"/>
      <c r="NDD12" s="782"/>
      <c r="NDE12" s="782"/>
      <c r="NDF12" s="777"/>
      <c r="NDG12" s="778"/>
      <c r="NDH12" s="779"/>
      <c r="NDI12" s="780"/>
      <c r="NDJ12" s="781"/>
      <c r="NDK12" s="782"/>
      <c r="NDL12" s="782"/>
      <c r="NDM12" s="777"/>
      <c r="NDN12" s="778"/>
      <c r="NDO12" s="779"/>
      <c r="NDP12" s="780"/>
      <c r="NDQ12" s="781"/>
      <c r="NDR12" s="782"/>
      <c r="NDS12" s="782"/>
      <c r="NDT12" s="777"/>
      <c r="NDU12" s="778"/>
      <c r="NDV12" s="779"/>
      <c r="NDW12" s="780"/>
      <c r="NDX12" s="781"/>
      <c r="NDY12" s="782"/>
      <c r="NDZ12" s="782"/>
      <c r="NEA12" s="777"/>
      <c r="NEB12" s="778"/>
      <c r="NEC12" s="779"/>
      <c r="NED12" s="780"/>
      <c r="NEE12" s="781"/>
      <c r="NEF12" s="782"/>
      <c r="NEG12" s="782"/>
      <c r="NEH12" s="777"/>
      <c r="NEI12" s="778"/>
      <c r="NEJ12" s="779"/>
      <c r="NEK12" s="780"/>
      <c r="NEL12" s="781"/>
      <c r="NEM12" s="782"/>
      <c r="NEN12" s="782"/>
      <c r="NEO12" s="777"/>
      <c r="NEP12" s="778"/>
      <c r="NEQ12" s="779"/>
      <c r="NER12" s="780"/>
      <c r="NES12" s="781"/>
      <c r="NET12" s="782"/>
      <c r="NEU12" s="782"/>
      <c r="NEV12" s="777"/>
      <c r="NEW12" s="778"/>
      <c r="NEX12" s="779"/>
      <c r="NEY12" s="780"/>
      <c r="NEZ12" s="781"/>
      <c r="NFA12" s="782"/>
      <c r="NFB12" s="782"/>
      <c r="NFC12" s="777"/>
      <c r="NFD12" s="778"/>
      <c r="NFE12" s="779"/>
      <c r="NFF12" s="780"/>
      <c r="NFG12" s="781"/>
      <c r="NFH12" s="782"/>
      <c r="NFI12" s="782"/>
      <c r="NFJ12" s="777"/>
      <c r="NFK12" s="778"/>
      <c r="NFL12" s="779"/>
      <c r="NFM12" s="780"/>
      <c r="NFN12" s="781"/>
      <c r="NFO12" s="782"/>
      <c r="NFP12" s="782"/>
      <c r="NFQ12" s="777"/>
      <c r="NFR12" s="778"/>
      <c r="NFS12" s="779"/>
      <c r="NFT12" s="780"/>
      <c r="NFU12" s="781"/>
      <c r="NFV12" s="782"/>
      <c r="NFW12" s="782"/>
      <c r="NFX12" s="777"/>
      <c r="NFY12" s="778"/>
      <c r="NFZ12" s="779"/>
      <c r="NGA12" s="780"/>
      <c r="NGB12" s="781"/>
      <c r="NGC12" s="782"/>
      <c r="NGD12" s="782"/>
      <c r="NGE12" s="777"/>
      <c r="NGF12" s="778"/>
      <c r="NGG12" s="779"/>
      <c r="NGH12" s="780"/>
      <c r="NGI12" s="781"/>
      <c r="NGJ12" s="782"/>
      <c r="NGK12" s="782"/>
      <c r="NGL12" s="777"/>
      <c r="NGM12" s="778"/>
      <c r="NGN12" s="779"/>
      <c r="NGO12" s="780"/>
      <c r="NGP12" s="781"/>
      <c r="NGQ12" s="782"/>
      <c r="NGR12" s="782"/>
      <c r="NGS12" s="777"/>
      <c r="NGT12" s="778"/>
      <c r="NGU12" s="779"/>
      <c r="NGV12" s="780"/>
      <c r="NGW12" s="781"/>
      <c r="NGX12" s="782"/>
      <c r="NGY12" s="782"/>
      <c r="NGZ12" s="777"/>
      <c r="NHA12" s="778"/>
      <c r="NHB12" s="779"/>
      <c r="NHC12" s="780"/>
      <c r="NHD12" s="781"/>
      <c r="NHE12" s="782"/>
      <c r="NHF12" s="782"/>
      <c r="NHG12" s="777"/>
      <c r="NHH12" s="778"/>
      <c r="NHI12" s="779"/>
      <c r="NHJ12" s="780"/>
      <c r="NHK12" s="781"/>
      <c r="NHL12" s="782"/>
      <c r="NHM12" s="782"/>
      <c r="NHN12" s="777"/>
      <c r="NHO12" s="778"/>
      <c r="NHP12" s="779"/>
      <c r="NHQ12" s="780"/>
      <c r="NHR12" s="781"/>
      <c r="NHS12" s="782"/>
      <c r="NHT12" s="782"/>
      <c r="NHU12" s="777"/>
      <c r="NHV12" s="778"/>
      <c r="NHW12" s="779"/>
      <c r="NHX12" s="780"/>
      <c r="NHY12" s="781"/>
      <c r="NHZ12" s="782"/>
      <c r="NIA12" s="782"/>
      <c r="NIB12" s="777"/>
      <c r="NIC12" s="778"/>
      <c r="NID12" s="779"/>
      <c r="NIE12" s="780"/>
      <c r="NIF12" s="781"/>
      <c r="NIG12" s="782"/>
      <c r="NIH12" s="782"/>
      <c r="NII12" s="777"/>
      <c r="NIJ12" s="778"/>
      <c r="NIK12" s="779"/>
      <c r="NIL12" s="780"/>
      <c r="NIM12" s="781"/>
      <c r="NIN12" s="782"/>
      <c r="NIO12" s="782"/>
      <c r="NIP12" s="777"/>
      <c r="NIQ12" s="778"/>
      <c r="NIR12" s="779"/>
      <c r="NIS12" s="780"/>
      <c r="NIT12" s="781"/>
      <c r="NIU12" s="782"/>
      <c r="NIV12" s="782"/>
      <c r="NIW12" s="777"/>
      <c r="NIX12" s="778"/>
      <c r="NIY12" s="779"/>
      <c r="NIZ12" s="780"/>
      <c r="NJA12" s="781"/>
      <c r="NJB12" s="782"/>
      <c r="NJC12" s="782"/>
      <c r="NJD12" s="777"/>
      <c r="NJE12" s="778"/>
      <c r="NJF12" s="779"/>
      <c r="NJG12" s="780"/>
      <c r="NJH12" s="781"/>
      <c r="NJI12" s="782"/>
      <c r="NJJ12" s="782"/>
      <c r="NJK12" s="777"/>
      <c r="NJL12" s="778"/>
      <c r="NJM12" s="779"/>
      <c r="NJN12" s="780"/>
      <c r="NJO12" s="781"/>
      <c r="NJP12" s="782"/>
      <c r="NJQ12" s="782"/>
      <c r="NJR12" s="777"/>
      <c r="NJS12" s="778"/>
      <c r="NJT12" s="779"/>
      <c r="NJU12" s="780"/>
      <c r="NJV12" s="781"/>
      <c r="NJW12" s="782"/>
      <c r="NJX12" s="782"/>
      <c r="NJY12" s="777"/>
      <c r="NJZ12" s="778"/>
      <c r="NKA12" s="779"/>
      <c r="NKB12" s="780"/>
      <c r="NKC12" s="781"/>
      <c r="NKD12" s="782"/>
      <c r="NKE12" s="782"/>
      <c r="NKF12" s="777"/>
      <c r="NKG12" s="778"/>
      <c r="NKH12" s="779"/>
      <c r="NKI12" s="780"/>
      <c r="NKJ12" s="781"/>
      <c r="NKK12" s="782"/>
      <c r="NKL12" s="782"/>
      <c r="NKM12" s="777"/>
      <c r="NKN12" s="778"/>
      <c r="NKO12" s="779"/>
      <c r="NKP12" s="780"/>
      <c r="NKQ12" s="781"/>
      <c r="NKR12" s="782"/>
      <c r="NKS12" s="782"/>
      <c r="NKT12" s="777"/>
      <c r="NKU12" s="778"/>
      <c r="NKV12" s="779"/>
      <c r="NKW12" s="780"/>
      <c r="NKX12" s="781"/>
      <c r="NKY12" s="782"/>
      <c r="NKZ12" s="782"/>
      <c r="NLA12" s="777"/>
      <c r="NLB12" s="778"/>
      <c r="NLC12" s="779"/>
      <c r="NLD12" s="780"/>
      <c r="NLE12" s="781"/>
      <c r="NLF12" s="782"/>
      <c r="NLG12" s="782"/>
      <c r="NLH12" s="777"/>
      <c r="NLI12" s="778"/>
      <c r="NLJ12" s="779"/>
      <c r="NLK12" s="780"/>
      <c r="NLL12" s="781"/>
      <c r="NLM12" s="782"/>
      <c r="NLN12" s="782"/>
      <c r="NLO12" s="777"/>
      <c r="NLP12" s="778"/>
      <c r="NLQ12" s="779"/>
      <c r="NLR12" s="780"/>
      <c r="NLS12" s="781"/>
      <c r="NLT12" s="782"/>
      <c r="NLU12" s="782"/>
      <c r="NLV12" s="777"/>
      <c r="NLW12" s="778"/>
      <c r="NLX12" s="779"/>
      <c r="NLY12" s="780"/>
      <c r="NLZ12" s="781"/>
      <c r="NMA12" s="782"/>
      <c r="NMB12" s="782"/>
      <c r="NMC12" s="777"/>
      <c r="NMD12" s="778"/>
      <c r="NME12" s="779"/>
      <c r="NMF12" s="780"/>
      <c r="NMG12" s="781"/>
      <c r="NMH12" s="782"/>
      <c r="NMI12" s="782"/>
      <c r="NMJ12" s="777"/>
      <c r="NMK12" s="778"/>
      <c r="NML12" s="779"/>
      <c r="NMM12" s="780"/>
      <c r="NMN12" s="781"/>
      <c r="NMO12" s="782"/>
      <c r="NMP12" s="782"/>
      <c r="NMQ12" s="777"/>
      <c r="NMR12" s="778"/>
      <c r="NMS12" s="779"/>
      <c r="NMT12" s="780"/>
      <c r="NMU12" s="781"/>
      <c r="NMV12" s="782"/>
      <c r="NMW12" s="782"/>
      <c r="NMX12" s="777"/>
      <c r="NMY12" s="778"/>
      <c r="NMZ12" s="779"/>
      <c r="NNA12" s="780"/>
      <c r="NNB12" s="781"/>
      <c r="NNC12" s="782"/>
      <c r="NND12" s="782"/>
      <c r="NNE12" s="777"/>
      <c r="NNF12" s="778"/>
      <c r="NNG12" s="779"/>
      <c r="NNH12" s="780"/>
      <c r="NNI12" s="781"/>
      <c r="NNJ12" s="782"/>
      <c r="NNK12" s="782"/>
      <c r="NNL12" s="777"/>
      <c r="NNM12" s="778"/>
      <c r="NNN12" s="779"/>
      <c r="NNO12" s="780"/>
      <c r="NNP12" s="781"/>
      <c r="NNQ12" s="782"/>
      <c r="NNR12" s="782"/>
      <c r="NNS12" s="777"/>
      <c r="NNT12" s="778"/>
      <c r="NNU12" s="779"/>
      <c r="NNV12" s="780"/>
      <c r="NNW12" s="781"/>
      <c r="NNX12" s="782"/>
      <c r="NNY12" s="782"/>
      <c r="NNZ12" s="777"/>
      <c r="NOA12" s="778"/>
      <c r="NOB12" s="779"/>
      <c r="NOC12" s="780"/>
      <c r="NOD12" s="781"/>
      <c r="NOE12" s="782"/>
      <c r="NOF12" s="782"/>
      <c r="NOG12" s="777"/>
      <c r="NOH12" s="778"/>
      <c r="NOI12" s="779"/>
      <c r="NOJ12" s="780"/>
      <c r="NOK12" s="781"/>
      <c r="NOL12" s="782"/>
      <c r="NOM12" s="782"/>
      <c r="NON12" s="777"/>
      <c r="NOO12" s="778"/>
      <c r="NOP12" s="779"/>
      <c r="NOQ12" s="780"/>
      <c r="NOR12" s="781"/>
      <c r="NOS12" s="782"/>
      <c r="NOT12" s="782"/>
      <c r="NOU12" s="777"/>
      <c r="NOV12" s="778"/>
      <c r="NOW12" s="779"/>
      <c r="NOX12" s="780"/>
      <c r="NOY12" s="781"/>
      <c r="NOZ12" s="782"/>
      <c r="NPA12" s="782"/>
      <c r="NPB12" s="777"/>
      <c r="NPC12" s="778"/>
      <c r="NPD12" s="779"/>
      <c r="NPE12" s="780"/>
      <c r="NPF12" s="781"/>
      <c r="NPG12" s="782"/>
      <c r="NPH12" s="782"/>
      <c r="NPI12" s="777"/>
      <c r="NPJ12" s="778"/>
      <c r="NPK12" s="779"/>
      <c r="NPL12" s="780"/>
      <c r="NPM12" s="781"/>
      <c r="NPN12" s="782"/>
      <c r="NPO12" s="782"/>
      <c r="NPP12" s="777"/>
      <c r="NPQ12" s="778"/>
      <c r="NPR12" s="779"/>
      <c r="NPS12" s="780"/>
      <c r="NPT12" s="781"/>
      <c r="NPU12" s="782"/>
      <c r="NPV12" s="782"/>
      <c r="NPW12" s="777"/>
      <c r="NPX12" s="778"/>
      <c r="NPY12" s="779"/>
      <c r="NPZ12" s="780"/>
      <c r="NQA12" s="781"/>
      <c r="NQB12" s="782"/>
      <c r="NQC12" s="782"/>
      <c r="NQD12" s="777"/>
      <c r="NQE12" s="778"/>
      <c r="NQF12" s="779"/>
      <c r="NQG12" s="780"/>
      <c r="NQH12" s="781"/>
      <c r="NQI12" s="782"/>
      <c r="NQJ12" s="782"/>
      <c r="NQK12" s="777"/>
      <c r="NQL12" s="778"/>
      <c r="NQM12" s="779"/>
      <c r="NQN12" s="780"/>
      <c r="NQO12" s="781"/>
      <c r="NQP12" s="782"/>
      <c r="NQQ12" s="782"/>
      <c r="NQR12" s="777"/>
      <c r="NQS12" s="778"/>
      <c r="NQT12" s="779"/>
      <c r="NQU12" s="780"/>
      <c r="NQV12" s="781"/>
      <c r="NQW12" s="782"/>
      <c r="NQX12" s="782"/>
      <c r="NQY12" s="777"/>
      <c r="NQZ12" s="778"/>
      <c r="NRA12" s="779"/>
      <c r="NRB12" s="780"/>
      <c r="NRC12" s="781"/>
      <c r="NRD12" s="782"/>
      <c r="NRE12" s="782"/>
      <c r="NRF12" s="777"/>
      <c r="NRG12" s="778"/>
      <c r="NRH12" s="779"/>
      <c r="NRI12" s="780"/>
      <c r="NRJ12" s="781"/>
      <c r="NRK12" s="782"/>
      <c r="NRL12" s="782"/>
      <c r="NRM12" s="777"/>
      <c r="NRN12" s="778"/>
      <c r="NRO12" s="779"/>
      <c r="NRP12" s="780"/>
      <c r="NRQ12" s="781"/>
      <c r="NRR12" s="782"/>
      <c r="NRS12" s="782"/>
      <c r="NRT12" s="777"/>
      <c r="NRU12" s="778"/>
      <c r="NRV12" s="779"/>
      <c r="NRW12" s="780"/>
      <c r="NRX12" s="781"/>
      <c r="NRY12" s="782"/>
      <c r="NRZ12" s="782"/>
      <c r="NSA12" s="777"/>
      <c r="NSB12" s="778"/>
      <c r="NSC12" s="779"/>
      <c r="NSD12" s="780"/>
      <c r="NSE12" s="781"/>
      <c r="NSF12" s="782"/>
      <c r="NSG12" s="782"/>
      <c r="NSH12" s="777"/>
      <c r="NSI12" s="778"/>
      <c r="NSJ12" s="779"/>
      <c r="NSK12" s="780"/>
      <c r="NSL12" s="781"/>
      <c r="NSM12" s="782"/>
      <c r="NSN12" s="782"/>
      <c r="NSO12" s="777"/>
      <c r="NSP12" s="778"/>
      <c r="NSQ12" s="779"/>
      <c r="NSR12" s="780"/>
      <c r="NSS12" s="781"/>
      <c r="NST12" s="782"/>
      <c r="NSU12" s="782"/>
      <c r="NSV12" s="777"/>
      <c r="NSW12" s="778"/>
      <c r="NSX12" s="779"/>
      <c r="NSY12" s="780"/>
      <c r="NSZ12" s="781"/>
      <c r="NTA12" s="782"/>
      <c r="NTB12" s="782"/>
      <c r="NTC12" s="777"/>
      <c r="NTD12" s="778"/>
      <c r="NTE12" s="779"/>
      <c r="NTF12" s="780"/>
      <c r="NTG12" s="781"/>
      <c r="NTH12" s="782"/>
      <c r="NTI12" s="782"/>
      <c r="NTJ12" s="777"/>
      <c r="NTK12" s="778"/>
      <c r="NTL12" s="779"/>
      <c r="NTM12" s="780"/>
      <c r="NTN12" s="781"/>
      <c r="NTO12" s="782"/>
      <c r="NTP12" s="782"/>
      <c r="NTQ12" s="777"/>
      <c r="NTR12" s="778"/>
      <c r="NTS12" s="779"/>
      <c r="NTT12" s="780"/>
      <c r="NTU12" s="781"/>
      <c r="NTV12" s="782"/>
      <c r="NTW12" s="782"/>
      <c r="NTX12" s="777"/>
      <c r="NTY12" s="778"/>
      <c r="NTZ12" s="779"/>
      <c r="NUA12" s="780"/>
      <c r="NUB12" s="781"/>
      <c r="NUC12" s="782"/>
      <c r="NUD12" s="782"/>
      <c r="NUE12" s="777"/>
      <c r="NUF12" s="778"/>
      <c r="NUG12" s="779"/>
      <c r="NUH12" s="780"/>
      <c r="NUI12" s="781"/>
      <c r="NUJ12" s="782"/>
      <c r="NUK12" s="782"/>
      <c r="NUL12" s="777"/>
      <c r="NUM12" s="778"/>
      <c r="NUN12" s="779"/>
      <c r="NUO12" s="780"/>
      <c r="NUP12" s="781"/>
      <c r="NUQ12" s="782"/>
      <c r="NUR12" s="782"/>
      <c r="NUS12" s="777"/>
      <c r="NUT12" s="778"/>
      <c r="NUU12" s="779"/>
      <c r="NUV12" s="780"/>
      <c r="NUW12" s="781"/>
      <c r="NUX12" s="782"/>
      <c r="NUY12" s="782"/>
      <c r="NUZ12" s="777"/>
      <c r="NVA12" s="778"/>
      <c r="NVB12" s="779"/>
      <c r="NVC12" s="780"/>
      <c r="NVD12" s="781"/>
      <c r="NVE12" s="782"/>
      <c r="NVF12" s="782"/>
      <c r="NVG12" s="777"/>
      <c r="NVH12" s="778"/>
      <c r="NVI12" s="779"/>
      <c r="NVJ12" s="780"/>
      <c r="NVK12" s="781"/>
      <c r="NVL12" s="782"/>
      <c r="NVM12" s="782"/>
      <c r="NVN12" s="777"/>
      <c r="NVO12" s="778"/>
      <c r="NVP12" s="779"/>
      <c r="NVQ12" s="780"/>
      <c r="NVR12" s="781"/>
      <c r="NVS12" s="782"/>
      <c r="NVT12" s="782"/>
      <c r="NVU12" s="777"/>
      <c r="NVV12" s="778"/>
      <c r="NVW12" s="779"/>
      <c r="NVX12" s="780"/>
      <c r="NVY12" s="781"/>
      <c r="NVZ12" s="782"/>
      <c r="NWA12" s="782"/>
      <c r="NWB12" s="777"/>
      <c r="NWC12" s="778"/>
      <c r="NWD12" s="779"/>
      <c r="NWE12" s="780"/>
      <c r="NWF12" s="781"/>
      <c r="NWG12" s="782"/>
      <c r="NWH12" s="782"/>
      <c r="NWI12" s="777"/>
      <c r="NWJ12" s="778"/>
      <c r="NWK12" s="779"/>
      <c r="NWL12" s="780"/>
      <c r="NWM12" s="781"/>
      <c r="NWN12" s="782"/>
      <c r="NWO12" s="782"/>
      <c r="NWP12" s="777"/>
      <c r="NWQ12" s="778"/>
      <c r="NWR12" s="779"/>
      <c r="NWS12" s="780"/>
      <c r="NWT12" s="781"/>
      <c r="NWU12" s="782"/>
      <c r="NWV12" s="782"/>
      <c r="NWW12" s="777"/>
      <c r="NWX12" s="778"/>
      <c r="NWY12" s="779"/>
      <c r="NWZ12" s="780"/>
      <c r="NXA12" s="781"/>
      <c r="NXB12" s="782"/>
      <c r="NXC12" s="782"/>
      <c r="NXD12" s="777"/>
      <c r="NXE12" s="778"/>
      <c r="NXF12" s="779"/>
      <c r="NXG12" s="780"/>
      <c r="NXH12" s="781"/>
      <c r="NXI12" s="782"/>
      <c r="NXJ12" s="782"/>
      <c r="NXK12" s="777"/>
      <c r="NXL12" s="778"/>
      <c r="NXM12" s="779"/>
      <c r="NXN12" s="780"/>
      <c r="NXO12" s="781"/>
      <c r="NXP12" s="782"/>
      <c r="NXQ12" s="782"/>
      <c r="NXR12" s="777"/>
      <c r="NXS12" s="778"/>
      <c r="NXT12" s="779"/>
      <c r="NXU12" s="780"/>
      <c r="NXV12" s="781"/>
      <c r="NXW12" s="782"/>
      <c r="NXX12" s="782"/>
      <c r="NXY12" s="777"/>
      <c r="NXZ12" s="778"/>
      <c r="NYA12" s="779"/>
      <c r="NYB12" s="780"/>
      <c r="NYC12" s="781"/>
      <c r="NYD12" s="782"/>
      <c r="NYE12" s="782"/>
      <c r="NYF12" s="777"/>
      <c r="NYG12" s="778"/>
      <c r="NYH12" s="779"/>
      <c r="NYI12" s="780"/>
      <c r="NYJ12" s="781"/>
      <c r="NYK12" s="782"/>
      <c r="NYL12" s="782"/>
      <c r="NYM12" s="777"/>
      <c r="NYN12" s="778"/>
      <c r="NYO12" s="779"/>
      <c r="NYP12" s="780"/>
      <c r="NYQ12" s="781"/>
      <c r="NYR12" s="782"/>
      <c r="NYS12" s="782"/>
      <c r="NYT12" s="777"/>
      <c r="NYU12" s="778"/>
      <c r="NYV12" s="779"/>
      <c r="NYW12" s="780"/>
      <c r="NYX12" s="781"/>
      <c r="NYY12" s="782"/>
      <c r="NYZ12" s="782"/>
      <c r="NZA12" s="777"/>
      <c r="NZB12" s="778"/>
      <c r="NZC12" s="779"/>
      <c r="NZD12" s="780"/>
      <c r="NZE12" s="781"/>
      <c r="NZF12" s="782"/>
      <c r="NZG12" s="782"/>
      <c r="NZH12" s="777"/>
      <c r="NZI12" s="778"/>
      <c r="NZJ12" s="779"/>
      <c r="NZK12" s="780"/>
      <c r="NZL12" s="781"/>
      <c r="NZM12" s="782"/>
      <c r="NZN12" s="782"/>
      <c r="NZO12" s="777"/>
      <c r="NZP12" s="778"/>
      <c r="NZQ12" s="779"/>
      <c r="NZR12" s="780"/>
      <c r="NZS12" s="781"/>
      <c r="NZT12" s="782"/>
      <c r="NZU12" s="782"/>
      <c r="NZV12" s="777"/>
      <c r="NZW12" s="778"/>
      <c r="NZX12" s="779"/>
      <c r="NZY12" s="780"/>
      <c r="NZZ12" s="781"/>
      <c r="OAA12" s="782"/>
      <c r="OAB12" s="782"/>
      <c r="OAC12" s="777"/>
      <c r="OAD12" s="778"/>
      <c r="OAE12" s="779"/>
      <c r="OAF12" s="780"/>
      <c r="OAG12" s="781"/>
      <c r="OAH12" s="782"/>
      <c r="OAI12" s="782"/>
      <c r="OAJ12" s="777"/>
      <c r="OAK12" s="778"/>
      <c r="OAL12" s="779"/>
      <c r="OAM12" s="780"/>
      <c r="OAN12" s="781"/>
      <c r="OAO12" s="782"/>
      <c r="OAP12" s="782"/>
      <c r="OAQ12" s="777"/>
      <c r="OAR12" s="778"/>
      <c r="OAS12" s="779"/>
      <c r="OAT12" s="780"/>
      <c r="OAU12" s="781"/>
      <c r="OAV12" s="782"/>
      <c r="OAW12" s="782"/>
      <c r="OAX12" s="777"/>
      <c r="OAY12" s="778"/>
      <c r="OAZ12" s="779"/>
      <c r="OBA12" s="780"/>
      <c r="OBB12" s="781"/>
      <c r="OBC12" s="782"/>
      <c r="OBD12" s="782"/>
      <c r="OBE12" s="777"/>
      <c r="OBF12" s="778"/>
      <c r="OBG12" s="779"/>
      <c r="OBH12" s="780"/>
      <c r="OBI12" s="781"/>
      <c r="OBJ12" s="782"/>
      <c r="OBK12" s="782"/>
      <c r="OBL12" s="777"/>
      <c r="OBM12" s="778"/>
      <c r="OBN12" s="779"/>
      <c r="OBO12" s="780"/>
      <c r="OBP12" s="781"/>
      <c r="OBQ12" s="782"/>
      <c r="OBR12" s="782"/>
      <c r="OBS12" s="777"/>
      <c r="OBT12" s="778"/>
      <c r="OBU12" s="779"/>
      <c r="OBV12" s="780"/>
      <c r="OBW12" s="781"/>
      <c r="OBX12" s="782"/>
      <c r="OBY12" s="782"/>
      <c r="OBZ12" s="777"/>
      <c r="OCA12" s="778"/>
      <c r="OCB12" s="779"/>
      <c r="OCC12" s="780"/>
      <c r="OCD12" s="781"/>
      <c r="OCE12" s="782"/>
      <c r="OCF12" s="782"/>
      <c r="OCG12" s="777"/>
      <c r="OCH12" s="778"/>
      <c r="OCI12" s="779"/>
      <c r="OCJ12" s="780"/>
      <c r="OCK12" s="781"/>
      <c r="OCL12" s="782"/>
      <c r="OCM12" s="782"/>
      <c r="OCN12" s="777"/>
      <c r="OCO12" s="778"/>
      <c r="OCP12" s="779"/>
      <c r="OCQ12" s="780"/>
      <c r="OCR12" s="781"/>
      <c r="OCS12" s="782"/>
      <c r="OCT12" s="782"/>
      <c r="OCU12" s="777"/>
      <c r="OCV12" s="778"/>
      <c r="OCW12" s="779"/>
      <c r="OCX12" s="780"/>
      <c r="OCY12" s="781"/>
      <c r="OCZ12" s="782"/>
      <c r="ODA12" s="782"/>
      <c r="ODB12" s="777"/>
      <c r="ODC12" s="778"/>
      <c r="ODD12" s="779"/>
      <c r="ODE12" s="780"/>
      <c r="ODF12" s="781"/>
      <c r="ODG12" s="782"/>
      <c r="ODH12" s="782"/>
      <c r="ODI12" s="777"/>
      <c r="ODJ12" s="778"/>
      <c r="ODK12" s="779"/>
      <c r="ODL12" s="780"/>
      <c r="ODM12" s="781"/>
      <c r="ODN12" s="782"/>
      <c r="ODO12" s="782"/>
      <c r="ODP12" s="777"/>
      <c r="ODQ12" s="778"/>
      <c r="ODR12" s="779"/>
      <c r="ODS12" s="780"/>
      <c r="ODT12" s="781"/>
      <c r="ODU12" s="782"/>
      <c r="ODV12" s="782"/>
      <c r="ODW12" s="777"/>
      <c r="ODX12" s="778"/>
      <c r="ODY12" s="779"/>
      <c r="ODZ12" s="780"/>
      <c r="OEA12" s="781"/>
      <c r="OEB12" s="782"/>
      <c r="OEC12" s="782"/>
      <c r="OED12" s="777"/>
      <c r="OEE12" s="778"/>
      <c r="OEF12" s="779"/>
      <c r="OEG12" s="780"/>
      <c r="OEH12" s="781"/>
      <c r="OEI12" s="782"/>
      <c r="OEJ12" s="782"/>
      <c r="OEK12" s="777"/>
      <c r="OEL12" s="778"/>
      <c r="OEM12" s="779"/>
      <c r="OEN12" s="780"/>
      <c r="OEO12" s="781"/>
      <c r="OEP12" s="782"/>
      <c r="OEQ12" s="782"/>
      <c r="OER12" s="777"/>
      <c r="OES12" s="778"/>
      <c r="OET12" s="779"/>
      <c r="OEU12" s="780"/>
      <c r="OEV12" s="781"/>
      <c r="OEW12" s="782"/>
      <c r="OEX12" s="782"/>
      <c r="OEY12" s="777"/>
      <c r="OEZ12" s="778"/>
      <c r="OFA12" s="779"/>
      <c r="OFB12" s="780"/>
      <c r="OFC12" s="781"/>
      <c r="OFD12" s="782"/>
      <c r="OFE12" s="782"/>
      <c r="OFF12" s="777"/>
      <c r="OFG12" s="778"/>
      <c r="OFH12" s="779"/>
      <c r="OFI12" s="780"/>
      <c r="OFJ12" s="781"/>
      <c r="OFK12" s="782"/>
      <c r="OFL12" s="782"/>
      <c r="OFM12" s="777"/>
      <c r="OFN12" s="778"/>
      <c r="OFO12" s="779"/>
      <c r="OFP12" s="780"/>
      <c r="OFQ12" s="781"/>
      <c r="OFR12" s="782"/>
      <c r="OFS12" s="782"/>
      <c r="OFT12" s="777"/>
      <c r="OFU12" s="778"/>
      <c r="OFV12" s="779"/>
      <c r="OFW12" s="780"/>
      <c r="OFX12" s="781"/>
      <c r="OFY12" s="782"/>
      <c r="OFZ12" s="782"/>
      <c r="OGA12" s="777"/>
      <c r="OGB12" s="778"/>
      <c r="OGC12" s="779"/>
      <c r="OGD12" s="780"/>
      <c r="OGE12" s="781"/>
      <c r="OGF12" s="782"/>
      <c r="OGG12" s="782"/>
      <c r="OGH12" s="777"/>
      <c r="OGI12" s="778"/>
      <c r="OGJ12" s="779"/>
      <c r="OGK12" s="780"/>
      <c r="OGL12" s="781"/>
      <c r="OGM12" s="782"/>
      <c r="OGN12" s="782"/>
      <c r="OGO12" s="777"/>
      <c r="OGP12" s="778"/>
      <c r="OGQ12" s="779"/>
      <c r="OGR12" s="780"/>
      <c r="OGS12" s="781"/>
      <c r="OGT12" s="782"/>
      <c r="OGU12" s="782"/>
      <c r="OGV12" s="777"/>
      <c r="OGW12" s="778"/>
      <c r="OGX12" s="779"/>
      <c r="OGY12" s="780"/>
      <c r="OGZ12" s="781"/>
      <c r="OHA12" s="782"/>
      <c r="OHB12" s="782"/>
      <c r="OHC12" s="777"/>
      <c r="OHD12" s="778"/>
      <c r="OHE12" s="779"/>
      <c r="OHF12" s="780"/>
      <c r="OHG12" s="781"/>
      <c r="OHH12" s="782"/>
      <c r="OHI12" s="782"/>
      <c r="OHJ12" s="777"/>
      <c r="OHK12" s="778"/>
      <c r="OHL12" s="779"/>
      <c r="OHM12" s="780"/>
      <c r="OHN12" s="781"/>
      <c r="OHO12" s="782"/>
      <c r="OHP12" s="782"/>
      <c r="OHQ12" s="777"/>
      <c r="OHR12" s="778"/>
      <c r="OHS12" s="779"/>
      <c r="OHT12" s="780"/>
      <c r="OHU12" s="781"/>
      <c r="OHV12" s="782"/>
      <c r="OHW12" s="782"/>
      <c r="OHX12" s="777"/>
      <c r="OHY12" s="778"/>
      <c r="OHZ12" s="779"/>
      <c r="OIA12" s="780"/>
      <c r="OIB12" s="781"/>
      <c r="OIC12" s="782"/>
      <c r="OID12" s="782"/>
      <c r="OIE12" s="777"/>
      <c r="OIF12" s="778"/>
      <c r="OIG12" s="779"/>
      <c r="OIH12" s="780"/>
      <c r="OII12" s="781"/>
      <c r="OIJ12" s="782"/>
      <c r="OIK12" s="782"/>
      <c r="OIL12" s="777"/>
      <c r="OIM12" s="778"/>
      <c r="OIN12" s="779"/>
      <c r="OIO12" s="780"/>
      <c r="OIP12" s="781"/>
      <c r="OIQ12" s="782"/>
      <c r="OIR12" s="782"/>
      <c r="OIS12" s="777"/>
      <c r="OIT12" s="778"/>
      <c r="OIU12" s="779"/>
      <c r="OIV12" s="780"/>
      <c r="OIW12" s="781"/>
      <c r="OIX12" s="782"/>
      <c r="OIY12" s="782"/>
      <c r="OIZ12" s="777"/>
      <c r="OJA12" s="778"/>
      <c r="OJB12" s="779"/>
      <c r="OJC12" s="780"/>
      <c r="OJD12" s="781"/>
      <c r="OJE12" s="782"/>
      <c r="OJF12" s="782"/>
      <c r="OJG12" s="777"/>
      <c r="OJH12" s="778"/>
      <c r="OJI12" s="779"/>
      <c r="OJJ12" s="780"/>
      <c r="OJK12" s="781"/>
      <c r="OJL12" s="782"/>
      <c r="OJM12" s="782"/>
      <c r="OJN12" s="777"/>
      <c r="OJO12" s="778"/>
      <c r="OJP12" s="779"/>
      <c r="OJQ12" s="780"/>
      <c r="OJR12" s="781"/>
      <c r="OJS12" s="782"/>
      <c r="OJT12" s="782"/>
      <c r="OJU12" s="777"/>
      <c r="OJV12" s="778"/>
      <c r="OJW12" s="779"/>
      <c r="OJX12" s="780"/>
      <c r="OJY12" s="781"/>
      <c r="OJZ12" s="782"/>
      <c r="OKA12" s="782"/>
      <c r="OKB12" s="777"/>
      <c r="OKC12" s="778"/>
      <c r="OKD12" s="779"/>
      <c r="OKE12" s="780"/>
      <c r="OKF12" s="781"/>
      <c r="OKG12" s="782"/>
      <c r="OKH12" s="782"/>
      <c r="OKI12" s="777"/>
      <c r="OKJ12" s="778"/>
      <c r="OKK12" s="779"/>
      <c r="OKL12" s="780"/>
      <c r="OKM12" s="781"/>
      <c r="OKN12" s="782"/>
      <c r="OKO12" s="782"/>
      <c r="OKP12" s="777"/>
      <c r="OKQ12" s="778"/>
      <c r="OKR12" s="779"/>
      <c r="OKS12" s="780"/>
      <c r="OKT12" s="781"/>
      <c r="OKU12" s="782"/>
      <c r="OKV12" s="782"/>
      <c r="OKW12" s="777"/>
      <c r="OKX12" s="778"/>
      <c r="OKY12" s="779"/>
      <c r="OKZ12" s="780"/>
      <c r="OLA12" s="781"/>
      <c r="OLB12" s="782"/>
      <c r="OLC12" s="782"/>
      <c r="OLD12" s="777"/>
      <c r="OLE12" s="778"/>
      <c r="OLF12" s="779"/>
      <c r="OLG12" s="780"/>
      <c r="OLH12" s="781"/>
      <c r="OLI12" s="782"/>
      <c r="OLJ12" s="782"/>
      <c r="OLK12" s="777"/>
      <c r="OLL12" s="778"/>
      <c r="OLM12" s="779"/>
      <c r="OLN12" s="780"/>
      <c r="OLO12" s="781"/>
      <c r="OLP12" s="782"/>
      <c r="OLQ12" s="782"/>
      <c r="OLR12" s="777"/>
      <c r="OLS12" s="778"/>
      <c r="OLT12" s="779"/>
      <c r="OLU12" s="780"/>
      <c r="OLV12" s="781"/>
      <c r="OLW12" s="782"/>
      <c r="OLX12" s="782"/>
      <c r="OLY12" s="777"/>
      <c r="OLZ12" s="778"/>
      <c r="OMA12" s="779"/>
      <c r="OMB12" s="780"/>
      <c r="OMC12" s="781"/>
      <c r="OMD12" s="782"/>
      <c r="OME12" s="782"/>
      <c r="OMF12" s="777"/>
      <c r="OMG12" s="778"/>
      <c r="OMH12" s="779"/>
      <c r="OMI12" s="780"/>
      <c r="OMJ12" s="781"/>
      <c r="OMK12" s="782"/>
      <c r="OML12" s="782"/>
      <c r="OMM12" s="777"/>
      <c r="OMN12" s="778"/>
      <c r="OMO12" s="779"/>
      <c r="OMP12" s="780"/>
      <c r="OMQ12" s="781"/>
      <c r="OMR12" s="782"/>
      <c r="OMS12" s="782"/>
      <c r="OMT12" s="777"/>
      <c r="OMU12" s="778"/>
      <c r="OMV12" s="779"/>
      <c r="OMW12" s="780"/>
      <c r="OMX12" s="781"/>
      <c r="OMY12" s="782"/>
      <c r="OMZ12" s="782"/>
      <c r="ONA12" s="777"/>
      <c r="ONB12" s="778"/>
      <c r="ONC12" s="779"/>
      <c r="OND12" s="780"/>
      <c r="ONE12" s="781"/>
      <c r="ONF12" s="782"/>
      <c r="ONG12" s="782"/>
      <c r="ONH12" s="777"/>
      <c r="ONI12" s="778"/>
      <c r="ONJ12" s="779"/>
      <c r="ONK12" s="780"/>
      <c r="ONL12" s="781"/>
      <c r="ONM12" s="782"/>
      <c r="ONN12" s="782"/>
      <c r="ONO12" s="777"/>
      <c r="ONP12" s="778"/>
      <c r="ONQ12" s="779"/>
      <c r="ONR12" s="780"/>
      <c r="ONS12" s="781"/>
      <c r="ONT12" s="782"/>
      <c r="ONU12" s="782"/>
      <c r="ONV12" s="777"/>
      <c r="ONW12" s="778"/>
      <c r="ONX12" s="779"/>
      <c r="ONY12" s="780"/>
      <c r="ONZ12" s="781"/>
      <c r="OOA12" s="782"/>
      <c r="OOB12" s="782"/>
      <c r="OOC12" s="777"/>
      <c r="OOD12" s="778"/>
      <c r="OOE12" s="779"/>
      <c r="OOF12" s="780"/>
      <c r="OOG12" s="781"/>
      <c r="OOH12" s="782"/>
      <c r="OOI12" s="782"/>
      <c r="OOJ12" s="777"/>
      <c r="OOK12" s="778"/>
      <c r="OOL12" s="779"/>
      <c r="OOM12" s="780"/>
      <c r="OON12" s="781"/>
      <c r="OOO12" s="782"/>
      <c r="OOP12" s="782"/>
      <c r="OOQ12" s="777"/>
      <c r="OOR12" s="778"/>
      <c r="OOS12" s="779"/>
      <c r="OOT12" s="780"/>
      <c r="OOU12" s="781"/>
      <c r="OOV12" s="782"/>
      <c r="OOW12" s="782"/>
      <c r="OOX12" s="777"/>
      <c r="OOY12" s="778"/>
      <c r="OOZ12" s="779"/>
      <c r="OPA12" s="780"/>
      <c r="OPB12" s="781"/>
      <c r="OPC12" s="782"/>
      <c r="OPD12" s="782"/>
      <c r="OPE12" s="777"/>
      <c r="OPF12" s="778"/>
      <c r="OPG12" s="779"/>
      <c r="OPH12" s="780"/>
      <c r="OPI12" s="781"/>
      <c r="OPJ12" s="782"/>
      <c r="OPK12" s="782"/>
      <c r="OPL12" s="777"/>
      <c r="OPM12" s="778"/>
      <c r="OPN12" s="779"/>
      <c r="OPO12" s="780"/>
      <c r="OPP12" s="781"/>
      <c r="OPQ12" s="782"/>
      <c r="OPR12" s="782"/>
      <c r="OPS12" s="777"/>
      <c r="OPT12" s="778"/>
      <c r="OPU12" s="779"/>
      <c r="OPV12" s="780"/>
      <c r="OPW12" s="781"/>
      <c r="OPX12" s="782"/>
      <c r="OPY12" s="782"/>
      <c r="OPZ12" s="777"/>
      <c r="OQA12" s="778"/>
      <c r="OQB12" s="779"/>
      <c r="OQC12" s="780"/>
      <c r="OQD12" s="781"/>
      <c r="OQE12" s="782"/>
      <c r="OQF12" s="782"/>
      <c r="OQG12" s="777"/>
      <c r="OQH12" s="778"/>
      <c r="OQI12" s="779"/>
      <c r="OQJ12" s="780"/>
      <c r="OQK12" s="781"/>
      <c r="OQL12" s="782"/>
      <c r="OQM12" s="782"/>
      <c r="OQN12" s="777"/>
      <c r="OQO12" s="778"/>
      <c r="OQP12" s="779"/>
      <c r="OQQ12" s="780"/>
      <c r="OQR12" s="781"/>
      <c r="OQS12" s="782"/>
      <c r="OQT12" s="782"/>
      <c r="OQU12" s="777"/>
      <c r="OQV12" s="778"/>
      <c r="OQW12" s="779"/>
      <c r="OQX12" s="780"/>
      <c r="OQY12" s="781"/>
      <c r="OQZ12" s="782"/>
      <c r="ORA12" s="782"/>
      <c r="ORB12" s="777"/>
      <c r="ORC12" s="778"/>
      <c r="ORD12" s="779"/>
      <c r="ORE12" s="780"/>
      <c r="ORF12" s="781"/>
      <c r="ORG12" s="782"/>
      <c r="ORH12" s="782"/>
      <c r="ORI12" s="777"/>
      <c r="ORJ12" s="778"/>
      <c r="ORK12" s="779"/>
      <c r="ORL12" s="780"/>
      <c r="ORM12" s="781"/>
      <c r="ORN12" s="782"/>
      <c r="ORO12" s="782"/>
      <c r="ORP12" s="777"/>
      <c r="ORQ12" s="778"/>
      <c r="ORR12" s="779"/>
      <c r="ORS12" s="780"/>
      <c r="ORT12" s="781"/>
      <c r="ORU12" s="782"/>
      <c r="ORV12" s="782"/>
      <c r="ORW12" s="777"/>
      <c r="ORX12" s="778"/>
      <c r="ORY12" s="779"/>
      <c r="ORZ12" s="780"/>
      <c r="OSA12" s="781"/>
      <c r="OSB12" s="782"/>
      <c r="OSC12" s="782"/>
      <c r="OSD12" s="777"/>
      <c r="OSE12" s="778"/>
      <c r="OSF12" s="779"/>
      <c r="OSG12" s="780"/>
      <c r="OSH12" s="781"/>
      <c r="OSI12" s="782"/>
      <c r="OSJ12" s="782"/>
      <c r="OSK12" s="777"/>
      <c r="OSL12" s="778"/>
      <c r="OSM12" s="779"/>
      <c r="OSN12" s="780"/>
      <c r="OSO12" s="781"/>
      <c r="OSP12" s="782"/>
      <c r="OSQ12" s="782"/>
      <c r="OSR12" s="777"/>
      <c r="OSS12" s="778"/>
      <c r="OST12" s="779"/>
      <c r="OSU12" s="780"/>
      <c r="OSV12" s="781"/>
      <c r="OSW12" s="782"/>
      <c r="OSX12" s="782"/>
      <c r="OSY12" s="777"/>
      <c r="OSZ12" s="778"/>
      <c r="OTA12" s="779"/>
      <c r="OTB12" s="780"/>
      <c r="OTC12" s="781"/>
      <c r="OTD12" s="782"/>
      <c r="OTE12" s="782"/>
      <c r="OTF12" s="777"/>
      <c r="OTG12" s="778"/>
      <c r="OTH12" s="779"/>
      <c r="OTI12" s="780"/>
      <c r="OTJ12" s="781"/>
      <c r="OTK12" s="782"/>
      <c r="OTL12" s="782"/>
      <c r="OTM12" s="777"/>
      <c r="OTN12" s="778"/>
      <c r="OTO12" s="779"/>
      <c r="OTP12" s="780"/>
      <c r="OTQ12" s="781"/>
      <c r="OTR12" s="782"/>
      <c r="OTS12" s="782"/>
      <c r="OTT12" s="777"/>
      <c r="OTU12" s="778"/>
      <c r="OTV12" s="779"/>
      <c r="OTW12" s="780"/>
      <c r="OTX12" s="781"/>
      <c r="OTY12" s="782"/>
      <c r="OTZ12" s="782"/>
      <c r="OUA12" s="777"/>
      <c r="OUB12" s="778"/>
      <c r="OUC12" s="779"/>
      <c r="OUD12" s="780"/>
      <c r="OUE12" s="781"/>
      <c r="OUF12" s="782"/>
      <c r="OUG12" s="782"/>
      <c r="OUH12" s="777"/>
      <c r="OUI12" s="778"/>
      <c r="OUJ12" s="779"/>
      <c r="OUK12" s="780"/>
      <c r="OUL12" s="781"/>
      <c r="OUM12" s="782"/>
      <c r="OUN12" s="782"/>
      <c r="OUO12" s="777"/>
      <c r="OUP12" s="778"/>
      <c r="OUQ12" s="779"/>
      <c r="OUR12" s="780"/>
      <c r="OUS12" s="781"/>
      <c r="OUT12" s="782"/>
      <c r="OUU12" s="782"/>
      <c r="OUV12" s="777"/>
      <c r="OUW12" s="778"/>
      <c r="OUX12" s="779"/>
      <c r="OUY12" s="780"/>
      <c r="OUZ12" s="781"/>
      <c r="OVA12" s="782"/>
      <c r="OVB12" s="782"/>
      <c r="OVC12" s="777"/>
      <c r="OVD12" s="778"/>
      <c r="OVE12" s="779"/>
      <c r="OVF12" s="780"/>
      <c r="OVG12" s="781"/>
      <c r="OVH12" s="782"/>
      <c r="OVI12" s="782"/>
      <c r="OVJ12" s="777"/>
      <c r="OVK12" s="778"/>
      <c r="OVL12" s="779"/>
      <c r="OVM12" s="780"/>
      <c r="OVN12" s="781"/>
      <c r="OVO12" s="782"/>
      <c r="OVP12" s="782"/>
      <c r="OVQ12" s="777"/>
      <c r="OVR12" s="778"/>
      <c r="OVS12" s="779"/>
      <c r="OVT12" s="780"/>
      <c r="OVU12" s="781"/>
      <c r="OVV12" s="782"/>
      <c r="OVW12" s="782"/>
      <c r="OVX12" s="777"/>
      <c r="OVY12" s="778"/>
      <c r="OVZ12" s="779"/>
      <c r="OWA12" s="780"/>
      <c r="OWB12" s="781"/>
      <c r="OWC12" s="782"/>
      <c r="OWD12" s="782"/>
      <c r="OWE12" s="777"/>
      <c r="OWF12" s="778"/>
      <c r="OWG12" s="779"/>
      <c r="OWH12" s="780"/>
      <c r="OWI12" s="781"/>
      <c r="OWJ12" s="782"/>
      <c r="OWK12" s="782"/>
      <c r="OWL12" s="777"/>
      <c r="OWM12" s="778"/>
      <c r="OWN12" s="779"/>
      <c r="OWO12" s="780"/>
      <c r="OWP12" s="781"/>
      <c r="OWQ12" s="782"/>
      <c r="OWR12" s="782"/>
      <c r="OWS12" s="777"/>
      <c r="OWT12" s="778"/>
      <c r="OWU12" s="779"/>
      <c r="OWV12" s="780"/>
      <c r="OWW12" s="781"/>
      <c r="OWX12" s="782"/>
      <c r="OWY12" s="782"/>
      <c r="OWZ12" s="777"/>
      <c r="OXA12" s="778"/>
      <c r="OXB12" s="779"/>
      <c r="OXC12" s="780"/>
      <c r="OXD12" s="781"/>
      <c r="OXE12" s="782"/>
      <c r="OXF12" s="782"/>
      <c r="OXG12" s="777"/>
      <c r="OXH12" s="778"/>
      <c r="OXI12" s="779"/>
      <c r="OXJ12" s="780"/>
      <c r="OXK12" s="781"/>
      <c r="OXL12" s="782"/>
      <c r="OXM12" s="782"/>
      <c r="OXN12" s="777"/>
      <c r="OXO12" s="778"/>
      <c r="OXP12" s="779"/>
      <c r="OXQ12" s="780"/>
      <c r="OXR12" s="781"/>
      <c r="OXS12" s="782"/>
      <c r="OXT12" s="782"/>
      <c r="OXU12" s="777"/>
      <c r="OXV12" s="778"/>
      <c r="OXW12" s="779"/>
      <c r="OXX12" s="780"/>
      <c r="OXY12" s="781"/>
      <c r="OXZ12" s="782"/>
      <c r="OYA12" s="782"/>
      <c r="OYB12" s="777"/>
      <c r="OYC12" s="778"/>
      <c r="OYD12" s="779"/>
      <c r="OYE12" s="780"/>
      <c r="OYF12" s="781"/>
      <c r="OYG12" s="782"/>
      <c r="OYH12" s="782"/>
      <c r="OYI12" s="777"/>
      <c r="OYJ12" s="778"/>
      <c r="OYK12" s="779"/>
      <c r="OYL12" s="780"/>
      <c r="OYM12" s="781"/>
      <c r="OYN12" s="782"/>
      <c r="OYO12" s="782"/>
      <c r="OYP12" s="777"/>
      <c r="OYQ12" s="778"/>
      <c r="OYR12" s="779"/>
      <c r="OYS12" s="780"/>
      <c r="OYT12" s="781"/>
      <c r="OYU12" s="782"/>
      <c r="OYV12" s="782"/>
      <c r="OYW12" s="777"/>
      <c r="OYX12" s="778"/>
      <c r="OYY12" s="779"/>
      <c r="OYZ12" s="780"/>
      <c r="OZA12" s="781"/>
      <c r="OZB12" s="782"/>
      <c r="OZC12" s="782"/>
      <c r="OZD12" s="777"/>
      <c r="OZE12" s="778"/>
      <c r="OZF12" s="779"/>
      <c r="OZG12" s="780"/>
      <c r="OZH12" s="781"/>
      <c r="OZI12" s="782"/>
      <c r="OZJ12" s="782"/>
      <c r="OZK12" s="777"/>
      <c r="OZL12" s="778"/>
      <c r="OZM12" s="779"/>
      <c r="OZN12" s="780"/>
      <c r="OZO12" s="781"/>
      <c r="OZP12" s="782"/>
      <c r="OZQ12" s="782"/>
      <c r="OZR12" s="777"/>
      <c r="OZS12" s="778"/>
      <c r="OZT12" s="779"/>
      <c r="OZU12" s="780"/>
      <c r="OZV12" s="781"/>
      <c r="OZW12" s="782"/>
      <c r="OZX12" s="782"/>
      <c r="OZY12" s="777"/>
      <c r="OZZ12" s="778"/>
      <c r="PAA12" s="779"/>
      <c r="PAB12" s="780"/>
      <c r="PAC12" s="781"/>
      <c r="PAD12" s="782"/>
      <c r="PAE12" s="782"/>
      <c r="PAF12" s="777"/>
      <c r="PAG12" s="778"/>
      <c r="PAH12" s="779"/>
      <c r="PAI12" s="780"/>
      <c r="PAJ12" s="781"/>
      <c r="PAK12" s="782"/>
      <c r="PAL12" s="782"/>
      <c r="PAM12" s="777"/>
      <c r="PAN12" s="778"/>
      <c r="PAO12" s="779"/>
      <c r="PAP12" s="780"/>
      <c r="PAQ12" s="781"/>
      <c r="PAR12" s="782"/>
      <c r="PAS12" s="782"/>
      <c r="PAT12" s="777"/>
      <c r="PAU12" s="778"/>
      <c r="PAV12" s="779"/>
      <c r="PAW12" s="780"/>
      <c r="PAX12" s="781"/>
      <c r="PAY12" s="782"/>
      <c r="PAZ12" s="782"/>
      <c r="PBA12" s="777"/>
      <c r="PBB12" s="778"/>
      <c r="PBC12" s="779"/>
      <c r="PBD12" s="780"/>
      <c r="PBE12" s="781"/>
      <c r="PBF12" s="782"/>
      <c r="PBG12" s="782"/>
      <c r="PBH12" s="777"/>
      <c r="PBI12" s="778"/>
      <c r="PBJ12" s="779"/>
      <c r="PBK12" s="780"/>
      <c r="PBL12" s="781"/>
      <c r="PBM12" s="782"/>
      <c r="PBN12" s="782"/>
      <c r="PBO12" s="777"/>
      <c r="PBP12" s="778"/>
      <c r="PBQ12" s="779"/>
      <c r="PBR12" s="780"/>
      <c r="PBS12" s="781"/>
      <c r="PBT12" s="782"/>
      <c r="PBU12" s="782"/>
      <c r="PBV12" s="777"/>
      <c r="PBW12" s="778"/>
      <c r="PBX12" s="779"/>
      <c r="PBY12" s="780"/>
      <c r="PBZ12" s="781"/>
      <c r="PCA12" s="782"/>
      <c r="PCB12" s="782"/>
      <c r="PCC12" s="777"/>
      <c r="PCD12" s="778"/>
      <c r="PCE12" s="779"/>
      <c r="PCF12" s="780"/>
      <c r="PCG12" s="781"/>
      <c r="PCH12" s="782"/>
      <c r="PCI12" s="782"/>
      <c r="PCJ12" s="777"/>
      <c r="PCK12" s="778"/>
      <c r="PCL12" s="779"/>
      <c r="PCM12" s="780"/>
      <c r="PCN12" s="781"/>
      <c r="PCO12" s="782"/>
      <c r="PCP12" s="782"/>
      <c r="PCQ12" s="777"/>
      <c r="PCR12" s="778"/>
      <c r="PCS12" s="779"/>
      <c r="PCT12" s="780"/>
      <c r="PCU12" s="781"/>
      <c r="PCV12" s="782"/>
      <c r="PCW12" s="782"/>
      <c r="PCX12" s="777"/>
      <c r="PCY12" s="778"/>
      <c r="PCZ12" s="779"/>
      <c r="PDA12" s="780"/>
      <c r="PDB12" s="781"/>
      <c r="PDC12" s="782"/>
      <c r="PDD12" s="782"/>
      <c r="PDE12" s="777"/>
      <c r="PDF12" s="778"/>
      <c r="PDG12" s="779"/>
      <c r="PDH12" s="780"/>
      <c r="PDI12" s="781"/>
      <c r="PDJ12" s="782"/>
      <c r="PDK12" s="782"/>
      <c r="PDL12" s="777"/>
      <c r="PDM12" s="778"/>
      <c r="PDN12" s="779"/>
      <c r="PDO12" s="780"/>
      <c r="PDP12" s="781"/>
      <c r="PDQ12" s="782"/>
      <c r="PDR12" s="782"/>
      <c r="PDS12" s="777"/>
      <c r="PDT12" s="778"/>
      <c r="PDU12" s="779"/>
      <c r="PDV12" s="780"/>
      <c r="PDW12" s="781"/>
      <c r="PDX12" s="782"/>
      <c r="PDY12" s="782"/>
      <c r="PDZ12" s="777"/>
      <c r="PEA12" s="778"/>
      <c r="PEB12" s="779"/>
      <c r="PEC12" s="780"/>
      <c r="PED12" s="781"/>
      <c r="PEE12" s="782"/>
      <c r="PEF12" s="782"/>
      <c r="PEG12" s="777"/>
      <c r="PEH12" s="778"/>
      <c r="PEI12" s="779"/>
      <c r="PEJ12" s="780"/>
      <c r="PEK12" s="781"/>
      <c r="PEL12" s="782"/>
      <c r="PEM12" s="782"/>
      <c r="PEN12" s="777"/>
      <c r="PEO12" s="778"/>
      <c r="PEP12" s="779"/>
      <c r="PEQ12" s="780"/>
      <c r="PER12" s="781"/>
      <c r="PES12" s="782"/>
      <c r="PET12" s="782"/>
      <c r="PEU12" s="777"/>
      <c r="PEV12" s="778"/>
      <c r="PEW12" s="779"/>
      <c r="PEX12" s="780"/>
      <c r="PEY12" s="781"/>
      <c r="PEZ12" s="782"/>
      <c r="PFA12" s="782"/>
      <c r="PFB12" s="777"/>
      <c r="PFC12" s="778"/>
      <c r="PFD12" s="779"/>
      <c r="PFE12" s="780"/>
      <c r="PFF12" s="781"/>
      <c r="PFG12" s="782"/>
      <c r="PFH12" s="782"/>
      <c r="PFI12" s="777"/>
      <c r="PFJ12" s="778"/>
      <c r="PFK12" s="779"/>
      <c r="PFL12" s="780"/>
      <c r="PFM12" s="781"/>
      <c r="PFN12" s="782"/>
      <c r="PFO12" s="782"/>
      <c r="PFP12" s="777"/>
      <c r="PFQ12" s="778"/>
      <c r="PFR12" s="779"/>
      <c r="PFS12" s="780"/>
      <c r="PFT12" s="781"/>
      <c r="PFU12" s="782"/>
      <c r="PFV12" s="782"/>
      <c r="PFW12" s="777"/>
      <c r="PFX12" s="778"/>
      <c r="PFY12" s="779"/>
      <c r="PFZ12" s="780"/>
      <c r="PGA12" s="781"/>
      <c r="PGB12" s="782"/>
      <c r="PGC12" s="782"/>
      <c r="PGD12" s="777"/>
      <c r="PGE12" s="778"/>
      <c r="PGF12" s="779"/>
      <c r="PGG12" s="780"/>
      <c r="PGH12" s="781"/>
      <c r="PGI12" s="782"/>
      <c r="PGJ12" s="782"/>
      <c r="PGK12" s="777"/>
      <c r="PGL12" s="778"/>
      <c r="PGM12" s="779"/>
      <c r="PGN12" s="780"/>
      <c r="PGO12" s="781"/>
      <c r="PGP12" s="782"/>
      <c r="PGQ12" s="782"/>
      <c r="PGR12" s="777"/>
      <c r="PGS12" s="778"/>
      <c r="PGT12" s="779"/>
      <c r="PGU12" s="780"/>
      <c r="PGV12" s="781"/>
      <c r="PGW12" s="782"/>
      <c r="PGX12" s="782"/>
      <c r="PGY12" s="777"/>
      <c r="PGZ12" s="778"/>
      <c r="PHA12" s="779"/>
      <c r="PHB12" s="780"/>
      <c r="PHC12" s="781"/>
      <c r="PHD12" s="782"/>
      <c r="PHE12" s="782"/>
      <c r="PHF12" s="777"/>
      <c r="PHG12" s="778"/>
      <c r="PHH12" s="779"/>
      <c r="PHI12" s="780"/>
      <c r="PHJ12" s="781"/>
      <c r="PHK12" s="782"/>
      <c r="PHL12" s="782"/>
      <c r="PHM12" s="777"/>
      <c r="PHN12" s="778"/>
      <c r="PHO12" s="779"/>
      <c r="PHP12" s="780"/>
      <c r="PHQ12" s="781"/>
      <c r="PHR12" s="782"/>
      <c r="PHS12" s="782"/>
      <c r="PHT12" s="777"/>
      <c r="PHU12" s="778"/>
      <c r="PHV12" s="779"/>
      <c r="PHW12" s="780"/>
      <c r="PHX12" s="781"/>
      <c r="PHY12" s="782"/>
      <c r="PHZ12" s="782"/>
      <c r="PIA12" s="777"/>
      <c r="PIB12" s="778"/>
      <c r="PIC12" s="779"/>
      <c r="PID12" s="780"/>
      <c r="PIE12" s="781"/>
      <c r="PIF12" s="782"/>
      <c r="PIG12" s="782"/>
      <c r="PIH12" s="777"/>
      <c r="PII12" s="778"/>
      <c r="PIJ12" s="779"/>
      <c r="PIK12" s="780"/>
      <c r="PIL12" s="781"/>
      <c r="PIM12" s="782"/>
      <c r="PIN12" s="782"/>
      <c r="PIO12" s="777"/>
      <c r="PIP12" s="778"/>
      <c r="PIQ12" s="779"/>
      <c r="PIR12" s="780"/>
      <c r="PIS12" s="781"/>
      <c r="PIT12" s="782"/>
      <c r="PIU12" s="782"/>
      <c r="PIV12" s="777"/>
      <c r="PIW12" s="778"/>
      <c r="PIX12" s="779"/>
      <c r="PIY12" s="780"/>
      <c r="PIZ12" s="781"/>
      <c r="PJA12" s="782"/>
      <c r="PJB12" s="782"/>
      <c r="PJC12" s="777"/>
      <c r="PJD12" s="778"/>
      <c r="PJE12" s="779"/>
      <c r="PJF12" s="780"/>
      <c r="PJG12" s="781"/>
      <c r="PJH12" s="782"/>
      <c r="PJI12" s="782"/>
      <c r="PJJ12" s="777"/>
      <c r="PJK12" s="778"/>
      <c r="PJL12" s="779"/>
      <c r="PJM12" s="780"/>
      <c r="PJN12" s="781"/>
      <c r="PJO12" s="782"/>
      <c r="PJP12" s="782"/>
      <c r="PJQ12" s="777"/>
      <c r="PJR12" s="778"/>
      <c r="PJS12" s="779"/>
      <c r="PJT12" s="780"/>
      <c r="PJU12" s="781"/>
      <c r="PJV12" s="782"/>
      <c r="PJW12" s="782"/>
      <c r="PJX12" s="777"/>
      <c r="PJY12" s="778"/>
      <c r="PJZ12" s="779"/>
      <c r="PKA12" s="780"/>
      <c r="PKB12" s="781"/>
      <c r="PKC12" s="782"/>
      <c r="PKD12" s="782"/>
      <c r="PKE12" s="777"/>
      <c r="PKF12" s="778"/>
      <c r="PKG12" s="779"/>
      <c r="PKH12" s="780"/>
      <c r="PKI12" s="781"/>
      <c r="PKJ12" s="782"/>
      <c r="PKK12" s="782"/>
      <c r="PKL12" s="777"/>
      <c r="PKM12" s="778"/>
      <c r="PKN12" s="779"/>
      <c r="PKO12" s="780"/>
      <c r="PKP12" s="781"/>
      <c r="PKQ12" s="782"/>
      <c r="PKR12" s="782"/>
      <c r="PKS12" s="777"/>
      <c r="PKT12" s="778"/>
      <c r="PKU12" s="779"/>
      <c r="PKV12" s="780"/>
      <c r="PKW12" s="781"/>
      <c r="PKX12" s="782"/>
      <c r="PKY12" s="782"/>
      <c r="PKZ12" s="777"/>
      <c r="PLA12" s="778"/>
      <c r="PLB12" s="779"/>
      <c r="PLC12" s="780"/>
      <c r="PLD12" s="781"/>
      <c r="PLE12" s="782"/>
      <c r="PLF12" s="782"/>
      <c r="PLG12" s="777"/>
      <c r="PLH12" s="778"/>
      <c r="PLI12" s="779"/>
      <c r="PLJ12" s="780"/>
      <c r="PLK12" s="781"/>
      <c r="PLL12" s="782"/>
      <c r="PLM12" s="782"/>
      <c r="PLN12" s="777"/>
      <c r="PLO12" s="778"/>
      <c r="PLP12" s="779"/>
      <c r="PLQ12" s="780"/>
      <c r="PLR12" s="781"/>
      <c r="PLS12" s="782"/>
      <c r="PLT12" s="782"/>
      <c r="PLU12" s="777"/>
      <c r="PLV12" s="778"/>
      <c r="PLW12" s="779"/>
      <c r="PLX12" s="780"/>
      <c r="PLY12" s="781"/>
      <c r="PLZ12" s="782"/>
      <c r="PMA12" s="782"/>
      <c r="PMB12" s="777"/>
      <c r="PMC12" s="778"/>
      <c r="PMD12" s="779"/>
      <c r="PME12" s="780"/>
      <c r="PMF12" s="781"/>
      <c r="PMG12" s="782"/>
      <c r="PMH12" s="782"/>
      <c r="PMI12" s="777"/>
      <c r="PMJ12" s="778"/>
      <c r="PMK12" s="779"/>
      <c r="PML12" s="780"/>
      <c r="PMM12" s="781"/>
      <c r="PMN12" s="782"/>
      <c r="PMO12" s="782"/>
      <c r="PMP12" s="777"/>
      <c r="PMQ12" s="778"/>
      <c r="PMR12" s="779"/>
      <c r="PMS12" s="780"/>
      <c r="PMT12" s="781"/>
      <c r="PMU12" s="782"/>
      <c r="PMV12" s="782"/>
      <c r="PMW12" s="777"/>
      <c r="PMX12" s="778"/>
      <c r="PMY12" s="779"/>
      <c r="PMZ12" s="780"/>
      <c r="PNA12" s="781"/>
      <c r="PNB12" s="782"/>
      <c r="PNC12" s="782"/>
      <c r="PND12" s="777"/>
      <c r="PNE12" s="778"/>
      <c r="PNF12" s="779"/>
      <c r="PNG12" s="780"/>
      <c r="PNH12" s="781"/>
      <c r="PNI12" s="782"/>
      <c r="PNJ12" s="782"/>
      <c r="PNK12" s="777"/>
      <c r="PNL12" s="778"/>
      <c r="PNM12" s="779"/>
      <c r="PNN12" s="780"/>
      <c r="PNO12" s="781"/>
      <c r="PNP12" s="782"/>
      <c r="PNQ12" s="782"/>
      <c r="PNR12" s="777"/>
      <c r="PNS12" s="778"/>
      <c r="PNT12" s="779"/>
      <c r="PNU12" s="780"/>
      <c r="PNV12" s="781"/>
      <c r="PNW12" s="782"/>
      <c r="PNX12" s="782"/>
      <c r="PNY12" s="777"/>
      <c r="PNZ12" s="778"/>
      <c r="POA12" s="779"/>
      <c r="POB12" s="780"/>
      <c r="POC12" s="781"/>
      <c r="POD12" s="782"/>
      <c r="POE12" s="782"/>
      <c r="POF12" s="777"/>
      <c r="POG12" s="778"/>
      <c r="POH12" s="779"/>
      <c r="POI12" s="780"/>
      <c r="POJ12" s="781"/>
      <c r="POK12" s="782"/>
      <c r="POL12" s="782"/>
      <c r="POM12" s="777"/>
      <c r="PON12" s="778"/>
      <c r="POO12" s="779"/>
      <c r="POP12" s="780"/>
      <c r="POQ12" s="781"/>
      <c r="POR12" s="782"/>
      <c r="POS12" s="782"/>
      <c r="POT12" s="777"/>
      <c r="POU12" s="778"/>
      <c r="POV12" s="779"/>
      <c r="POW12" s="780"/>
      <c r="POX12" s="781"/>
      <c r="POY12" s="782"/>
      <c r="POZ12" s="782"/>
      <c r="PPA12" s="777"/>
      <c r="PPB12" s="778"/>
      <c r="PPC12" s="779"/>
      <c r="PPD12" s="780"/>
      <c r="PPE12" s="781"/>
      <c r="PPF12" s="782"/>
      <c r="PPG12" s="782"/>
      <c r="PPH12" s="777"/>
      <c r="PPI12" s="778"/>
      <c r="PPJ12" s="779"/>
      <c r="PPK12" s="780"/>
      <c r="PPL12" s="781"/>
      <c r="PPM12" s="782"/>
      <c r="PPN12" s="782"/>
      <c r="PPO12" s="777"/>
      <c r="PPP12" s="778"/>
      <c r="PPQ12" s="779"/>
      <c r="PPR12" s="780"/>
      <c r="PPS12" s="781"/>
      <c r="PPT12" s="782"/>
      <c r="PPU12" s="782"/>
      <c r="PPV12" s="777"/>
      <c r="PPW12" s="778"/>
      <c r="PPX12" s="779"/>
      <c r="PPY12" s="780"/>
      <c r="PPZ12" s="781"/>
      <c r="PQA12" s="782"/>
      <c r="PQB12" s="782"/>
      <c r="PQC12" s="777"/>
      <c r="PQD12" s="778"/>
      <c r="PQE12" s="779"/>
      <c r="PQF12" s="780"/>
      <c r="PQG12" s="781"/>
      <c r="PQH12" s="782"/>
      <c r="PQI12" s="782"/>
      <c r="PQJ12" s="777"/>
      <c r="PQK12" s="778"/>
      <c r="PQL12" s="779"/>
      <c r="PQM12" s="780"/>
      <c r="PQN12" s="781"/>
      <c r="PQO12" s="782"/>
      <c r="PQP12" s="782"/>
      <c r="PQQ12" s="777"/>
      <c r="PQR12" s="778"/>
      <c r="PQS12" s="779"/>
      <c r="PQT12" s="780"/>
      <c r="PQU12" s="781"/>
      <c r="PQV12" s="782"/>
      <c r="PQW12" s="782"/>
      <c r="PQX12" s="777"/>
      <c r="PQY12" s="778"/>
      <c r="PQZ12" s="779"/>
      <c r="PRA12" s="780"/>
      <c r="PRB12" s="781"/>
      <c r="PRC12" s="782"/>
      <c r="PRD12" s="782"/>
      <c r="PRE12" s="777"/>
      <c r="PRF12" s="778"/>
      <c r="PRG12" s="779"/>
      <c r="PRH12" s="780"/>
      <c r="PRI12" s="781"/>
      <c r="PRJ12" s="782"/>
      <c r="PRK12" s="782"/>
      <c r="PRL12" s="777"/>
      <c r="PRM12" s="778"/>
      <c r="PRN12" s="779"/>
      <c r="PRO12" s="780"/>
      <c r="PRP12" s="781"/>
      <c r="PRQ12" s="782"/>
      <c r="PRR12" s="782"/>
      <c r="PRS12" s="777"/>
      <c r="PRT12" s="778"/>
      <c r="PRU12" s="779"/>
      <c r="PRV12" s="780"/>
      <c r="PRW12" s="781"/>
      <c r="PRX12" s="782"/>
      <c r="PRY12" s="782"/>
      <c r="PRZ12" s="777"/>
      <c r="PSA12" s="778"/>
      <c r="PSB12" s="779"/>
      <c r="PSC12" s="780"/>
      <c r="PSD12" s="781"/>
      <c r="PSE12" s="782"/>
      <c r="PSF12" s="782"/>
      <c r="PSG12" s="777"/>
      <c r="PSH12" s="778"/>
      <c r="PSI12" s="779"/>
      <c r="PSJ12" s="780"/>
      <c r="PSK12" s="781"/>
      <c r="PSL12" s="782"/>
      <c r="PSM12" s="782"/>
      <c r="PSN12" s="777"/>
      <c r="PSO12" s="778"/>
      <c r="PSP12" s="779"/>
      <c r="PSQ12" s="780"/>
      <c r="PSR12" s="781"/>
      <c r="PSS12" s="782"/>
      <c r="PST12" s="782"/>
      <c r="PSU12" s="777"/>
      <c r="PSV12" s="778"/>
      <c r="PSW12" s="779"/>
      <c r="PSX12" s="780"/>
      <c r="PSY12" s="781"/>
      <c r="PSZ12" s="782"/>
      <c r="PTA12" s="782"/>
      <c r="PTB12" s="777"/>
      <c r="PTC12" s="778"/>
      <c r="PTD12" s="779"/>
      <c r="PTE12" s="780"/>
      <c r="PTF12" s="781"/>
      <c r="PTG12" s="782"/>
      <c r="PTH12" s="782"/>
      <c r="PTI12" s="777"/>
      <c r="PTJ12" s="778"/>
      <c r="PTK12" s="779"/>
      <c r="PTL12" s="780"/>
      <c r="PTM12" s="781"/>
      <c r="PTN12" s="782"/>
      <c r="PTO12" s="782"/>
      <c r="PTP12" s="777"/>
      <c r="PTQ12" s="778"/>
      <c r="PTR12" s="779"/>
      <c r="PTS12" s="780"/>
      <c r="PTT12" s="781"/>
      <c r="PTU12" s="782"/>
      <c r="PTV12" s="782"/>
      <c r="PTW12" s="777"/>
      <c r="PTX12" s="778"/>
      <c r="PTY12" s="779"/>
      <c r="PTZ12" s="780"/>
      <c r="PUA12" s="781"/>
      <c r="PUB12" s="782"/>
      <c r="PUC12" s="782"/>
      <c r="PUD12" s="777"/>
      <c r="PUE12" s="778"/>
      <c r="PUF12" s="779"/>
      <c r="PUG12" s="780"/>
      <c r="PUH12" s="781"/>
      <c r="PUI12" s="782"/>
      <c r="PUJ12" s="782"/>
      <c r="PUK12" s="777"/>
      <c r="PUL12" s="778"/>
      <c r="PUM12" s="779"/>
      <c r="PUN12" s="780"/>
      <c r="PUO12" s="781"/>
      <c r="PUP12" s="782"/>
      <c r="PUQ12" s="782"/>
      <c r="PUR12" s="777"/>
      <c r="PUS12" s="778"/>
      <c r="PUT12" s="779"/>
      <c r="PUU12" s="780"/>
      <c r="PUV12" s="781"/>
      <c r="PUW12" s="782"/>
      <c r="PUX12" s="782"/>
      <c r="PUY12" s="777"/>
      <c r="PUZ12" s="778"/>
      <c r="PVA12" s="779"/>
      <c r="PVB12" s="780"/>
      <c r="PVC12" s="781"/>
      <c r="PVD12" s="782"/>
      <c r="PVE12" s="782"/>
      <c r="PVF12" s="777"/>
      <c r="PVG12" s="778"/>
      <c r="PVH12" s="779"/>
      <c r="PVI12" s="780"/>
      <c r="PVJ12" s="781"/>
      <c r="PVK12" s="782"/>
      <c r="PVL12" s="782"/>
      <c r="PVM12" s="777"/>
      <c r="PVN12" s="778"/>
      <c r="PVO12" s="779"/>
      <c r="PVP12" s="780"/>
      <c r="PVQ12" s="781"/>
      <c r="PVR12" s="782"/>
      <c r="PVS12" s="782"/>
      <c r="PVT12" s="777"/>
      <c r="PVU12" s="778"/>
      <c r="PVV12" s="779"/>
      <c r="PVW12" s="780"/>
      <c r="PVX12" s="781"/>
      <c r="PVY12" s="782"/>
      <c r="PVZ12" s="782"/>
      <c r="PWA12" s="777"/>
      <c r="PWB12" s="778"/>
      <c r="PWC12" s="779"/>
      <c r="PWD12" s="780"/>
      <c r="PWE12" s="781"/>
      <c r="PWF12" s="782"/>
      <c r="PWG12" s="782"/>
      <c r="PWH12" s="777"/>
      <c r="PWI12" s="778"/>
      <c r="PWJ12" s="779"/>
      <c r="PWK12" s="780"/>
      <c r="PWL12" s="781"/>
      <c r="PWM12" s="782"/>
      <c r="PWN12" s="782"/>
      <c r="PWO12" s="777"/>
      <c r="PWP12" s="778"/>
      <c r="PWQ12" s="779"/>
      <c r="PWR12" s="780"/>
      <c r="PWS12" s="781"/>
      <c r="PWT12" s="782"/>
      <c r="PWU12" s="782"/>
      <c r="PWV12" s="777"/>
      <c r="PWW12" s="778"/>
      <c r="PWX12" s="779"/>
      <c r="PWY12" s="780"/>
      <c r="PWZ12" s="781"/>
      <c r="PXA12" s="782"/>
      <c r="PXB12" s="782"/>
      <c r="PXC12" s="777"/>
      <c r="PXD12" s="778"/>
      <c r="PXE12" s="779"/>
      <c r="PXF12" s="780"/>
      <c r="PXG12" s="781"/>
      <c r="PXH12" s="782"/>
      <c r="PXI12" s="782"/>
      <c r="PXJ12" s="777"/>
      <c r="PXK12" s="778"/>
      <c r="PXL12" s="779"/>
      <c r="PXM12" s="780"/>
      <c r="PXN12" s="781"/>
      <c r="PXO12" s="782"/>
      <c r="PXP12" s="782"/>
      <c r="PXQ12" s="777"/>
      <c r="PXR12" s="778"/>
      <c r="PXS12" s="779"/>
      <c r="PXT12" s="780"/>
      <c r="PXU12" s="781"/>
      <c r="PXV12" s="782"/>
      <c r="PXW12" s="782"/>
      <c r="PXX12" s="777"/>
      <c r="PXY12" s="778"/>
      <c r="PXZ12" s="779"/>
      <c r="PYA12" s="780"/>
      <c r="PYB12" s="781"/>
      <c r="PYC12" s="782"/>
      <c r="PYD12" s="782"/>
      <c r="PYE12" s="777"/>
      <c r="PYF12" s="778"/>
      <c r="PYG12" s="779"/>
      <c r="PYH12" s="780"/>
      <c r="PYI12" s="781"/>
      <c r="PYJ12" s="782"/>
      <c r="PYK12" s="782"/>
      <c r="PYL12" s="777"/>
      <c r="PYM12" s="778"/>
      <c r="PYN12" s="779"/>
      <c r="PYO12" s="780"/>
      <c r="PYP12" s="781"/>
      <c r="PYQ12" s="782"/>
      <c r="PYR12" s="782"/>
      <c r="PYS12" s="777"/>
      <c r="PYT12" s="778"/>
      <c r="PYU12" s="779"/>
      <c r="PYV12" s="780"/>
      <c r="PYW12" s="781"/>
      <c r="PYX12" s="782"/>
      <c r="PYY12" s="782"/>
      <c r="PYZ12" s="777"/>
      <c r="PZA12" s="778"/>
      <c r="PZB12" s="779"/>
      <c r="PZC12" s="780"/>
      <c r="PZD12" s="781"/>
      <c r="PZE12" s="782"/>
      <c r="PZF12" s="782"/>
      <c r="PZG12" s="777"/>
      <c r="PZH12" s="778"/>
      <c r="PZI12" s="779"/>
      <c r="PZJ12" s="780"/>
      <c r="PZK12" s="781"/>
      <c r="PZL12" s="782"/>
      <c r="PZM12" s="782"/>
      <c r="PZN12" s="777"/>
      <c r="PZO12" s="778"/>
      <c r="PZP12" s="779"/>
      <c r="PZQ12" s="780"/>
      <c r="PZR12" s="781"/>
      <c r="PZS12" s="782"/>
      <c r="PZT12" s="782"/>
      <c r="PZU12" s="777"/>
      <c r="PZV12" s="778"/>
      <c r="PZW12" s="779"/>
      <c r="PZX12" s="780"/>
      <c r="PZY12" s="781"/>
      <c r="PZZ12" s="782"/>
      <c r="QAA12" s="782"/>
      <c r="QAB12" s="777"/>
      <c r="QAC12" s="778"/>
      <c r="QAD12" s="779"/>
      <c r="QAE12" s="780"/>
      <c r="QAF12" s="781"/>
      <c r="QAG12" s="782"/>
      <c r="QAH12" s="782"/>
      <c r="QAI12" s="777"/>
      <c r="QAJ12" s="778"/>
      <c r="QAK12" s="779"/>
      <c r="QAL12" s="780"/>
      <c r="QAM12" s="781"/>
      <c r="QAN12" s="782"/>
      <c r="QAO12" s="782"/>
      <c r="QAP12" s="777"/>
      <c r="QAQ12" s="778"/>
      <c r="QAR12" s="779"/>
      <c r="QAS12" s="780"/>
      <c r="QAT12" s="781"/>
      <c r="QAU12" s="782"/>
      <c r="QAV12" s="782"/>
      <c r="QAW12" s="777"/>
      <c r="QAX12" s="778"/>
      <c r="QAY12" s="779"/>
      <c r="QAZ12" s="780"/>
      <c r="QBA12" s="781"/>
      <c r="QBB12" s="782"/>
      <c r="QBC12" s="782"/>
      <c r="QBD12" s="777"/>
      <c r="QBE12" s="778"/>
      <c r="QBF12" s="779"/>
      <c r="QBG12" s="780"/>
      <c r="QBH12" s="781"/>
      <c r="QBI12" s="782"/>
      <c r="QBJ12" s="782"/>
      <c r="QBK12" s="777"/>
      <c r="QBL12" s="778"/>
      <c r="QBM12" s="779"/>
      <c r="QBN12" s="780"/>
      <c r="QBO12" s="781"/>
      <c r="QBP12" s="782"/>
      <c r="QBQ12" s="782"/>
      <c r="QBR12" s="777"/>
      <c r="QBS12" s="778"/>
      <c r="QBT12" s="779"/>
      <c r="QBU12" s="780"/>
      <c r="QBV12" s="781"/>
      <c r="QBW12" s="782"/>
      <c r="QBX12" s="782"/>
      <c r="QBY12" s="777"/>
      <c r="QBZ12" s="778"/>
      <c r="QCA12" s="779"/>
      <c r="QCB12" s="780"/>
      <c r="QCC12" s="781"/>
      <c r="QCD12" s="782"/>
      <c r="QCE12" s="782"/>
      <c r="QCF12" s="777"/>
      <c r="QCG12" s="778"/>
      <c r="QCH12" s="779"/>
      <c r="QCI12" s="780"/>
      <c r="QCJ12" s="781"/>
      <c r="QCK12" s="782"/>
      <c r="QCL12" s="782"/>
      <c r="QCM12" s="777"/>
      <c r="QCN12" s="778"/>
      <c r="QCO12" s="779"/>
      <c r="QCP12" s="780"/>
      <c r="QCQ12" s="781"/>
      <c r="QCR12" s="782"/>
      <c r="QCS12" s="782"/>
      <c r="QCT12" s="777"/>
      <c r="QCU12" s="778"/>
      <c r="QCV12" s="779"/>
      <c r="QCW12" s="780"/>
      <c r="QCX12" s="781"/>
      <c r="QCY12" s="782"/>
      <c r="QCZ12" s="782"/>
      <c r="QDA12" s="777"/>
      <c r="QDB12" s="778"/>
      <c r="QDC12" s="779"/>
      <c r="QDD12" s="780"/>
      <c r="QDE12" s="781"/>
      <c r="QDF12" s="782"/>
      <c r="QDG12" s="782"/>
      <c r="QDH12" s="777"/>
      <c r="QDI12" s="778"/>
      <c r="QDJ12" s="779"/>
      <c r="QDK12" s="780"/>
      <c r="QDL12" s="781"/>
      <c r="QDM12" s="782"/>
      <c r="QDN12" s="782"/>
      <c r="QDO12" s="777"/>
      <c r="QDP12" s="778"/>
      <c r="QDQ12" s="779"/>
      <c r="QDR12" s="780"/>
      <c r="QDS12" s="781"/>
      <c r="QDT12" s="782"/>
      <c r="QDU12" s="782"/>
      <c r="QDV12" s="777"/>
      <c r="QDW12" s="778"/>
      <c r="QDX12" s="779"/>
      <c r="QDY12" s="780"/>
      <c r="QDZ12" s="781"/>
      <c r="QEA12" s="782"/>
      <c r="QEB12" s="782"/>
      <c r="QEC12" s="777"/>
      <c r="QED12" s="778"/>
      <c r="QEE12" s="779"/>
      <c r="QEF12" s="780"/>
      <c r="QEG12" s="781"/>
      <c r="QEH12" s="782"/>
      <c r="QEI12" s="782"/>
      <c r="QEJ12" s="777"/>
      <c r="QEK12" s="778"/>
      <c r="QEL12" s="779"/>
      <c r="QEM12" s="780"/>
      <c r="QEN12" s="781"/>
      <c r="QEO12" s="782"/>
      <c r="QEP12" s="782"/>
      <c r="QEQ12" s="777"/>
      <c r="QER12" s="778"/>
      <c r="QES12" s="779"/>
      <c r="QET12" s="780"/>
      <c r="QEU12" s="781"/>
      <c r="QEV12" s="782"/>
      <c r="QEW12" s="782"/>
      <c r="QEX12" s="777"/>
      <c r="QEY12" s="778"/>
      <c r="QEZ12" s="779"/>
      <c r="QFA12" s="780"/>
      <c r="QFB12" s="781"/>
      <c r="QFC12" s="782"/>
      <c r="QFD12" s="782"/>
      <c r="QFE12" s="777"/>
      <c r="QFF12" s="778"/>
      <c r="QFG12" s="779"/>
      <c r="QFH12" s="780"/>
      <c r="QFI12" s="781"/>
      <c r="QFJ12" s="782"/>
      <c r="QFK12" s="782"/>
      <c r="QFL12" s="777"/>
      <c r="QFM12" s="778"/>
      <c r="QFN12" s="779"/>
      <c r="QFO12" s="780"/>
      <c r="QFP12" s="781"/>
      <c r="QFQ12" s="782"/>
      <c r="QFR12" s="782"/>
      <c r="QFS12" s="777"/>
      <c r="QFT12" s="778"/>
      <c r="QFU12" s="779"/>
      <c r="QFV12" s="780"/>
      <c r="QFW12" s="781"/>
      <c r="QFX12" s="782"/>
      <c r="QFY12" s="782"/>
      <c r="QFZ12" s="777"/>
      <c r="QGA12" s="778"/>
      <c r="QGB12" s="779"/>
      <c r="QGC12" s="780"/>
      <c r="QGD12" s="781"/>
      <c r="QGE12" s="782"/>
      <c r="QGF12" s="782"/>
      <c r="QGG12" s="777"/>
      <c r="QGH12" s="778"/>
      <c r="QGI12" s="779"/>
      <c r="QGJ12" s="780"/>
      <c r="QGK12" s="781"/>
      <c r="QGL12" s="782"/>
      <c r="QGM12" s="782"/>
      <c r="QGN12" s="777"/>
      <c r="QGO12" s="778"/>
      <c r="QGP12" s="779"/>
      <c r="QGQ12" s="780"/>
      <c r="QGR12" s="781"/>
      <c r="QGS12" s="782"/>
      <c r="QGT12" s="782"/>
      <c r="QGU12" s="777"/>
      <c r="QGV12" s="778"/>
      <c r="QGW12" s="779"/>
      <c r="QGX12" s="780"/>
      <c r="QGY12" s="781"/>
      <c r="QGZ12" s="782"/>
      <c r="QHA12" s="782"/>
      <c r="QHB12" s="777"/>
      <c r="QHC12" s="778"/>
      <c r="QHD12" s="779"/>
      <c r="QHE12" s="780"/>
      <c r="QHF12" s="781"/>
      <c r="QHG12" s="782"/>
      <c r="QHH12" s="782"/>
      <c r="QHI12" s="777"/>
      <c r="QHJ12" s="778"/>
      <c r="QHK12" s="779"/>
      <c r="QHL12" s="780"/>
      <c r="QHM12" s="781"/>
      <c r="QHN12" s="782"/>
      <c r="QHO12" s="782"/>
      <c r="QHP12" s="777"/>
      <c r="QHQ12" s="778"/>
      <c r="QHR12" s="779"/>
      <c r="QHS12" s="780"/>
      <c r="QHT12" s="781"/>
      <c r="QHU12" s="782"/>
      <c r="QHV12" s="782"/>
      <c r="QHW12" s="777"/>
      <c r="QHX12" s="778"/>
      <c r="QHY12" s="779"/>
      <c r="QHZ12" s="780"/>
      <c r="QIA12" s="781"/>
      <c r="QIB12" s="782"/>
      <c r="QIC12" s="782"/>
      <c r="QID12" s="777"/>
      <c r="QIE12" s="778"/>
      <c r="QIF12" s="779"/>
      <c r="QIG12" s="780"/>
      <c r="QIH12" s="781"/>
      <c r="QII12" s="782"/>
      <c r="QIJ12" s="782"/>
      <c r="QIK12" s="777"/>
      <c r="QIL12" s="778"/>
      <c r="QIM12" s="779"/>
      <c r="QIN12" s="780"/>
      <c r="QIO12" s="781"/>
      <c r="QIP12" s="782"/>
      <c r="QIQ12" s="782"/>
      <c r="QIR12" s="777"/>
      <c r="QIS12" s="778"/>
      <c r="QIT12" s="779"/>
      <c r="QIU12" s="780"/>
      <c r="QIV12" s="781"/>
      <c r="QIW12" s="782"/>
      <c r="QIX12" s="782"/>
      <c r="QIY12" s="777"/>
      <c r="QIZ12" s="778"/>
      <c r="QJA12" s="779"/>
      <c r="QJB12" s="780"/>
      <c r="QJC12" s="781"/>
      <c r="QJD12" s="782"/>
      <c r="QJE12" s="782"/>
      <c r="QJF12" s="777"/>
      <c r="QJG12" s="778"/>
      <c r="QJH12" s="779"/>
      <c r="QJI12" s="780"/>
      <c r="QJJ12" s="781"/>
      <c r="QJK12" s="782"/>
      <c r="QJL12" s="782"/>
      <c r="QJM12" s="777"/>
      <c r="QJN12" s="778"/>
      <c r="QJO12" s="779"/>
      <c r="QJP12" s="780"/>
      <c r="QJQ12" s="781"/>
      <c r="QJR12" s="782"/>
      <c r="QJS12" s="782"/>
      <c r="QJT12" s="777"/>
      <c r="QJU12" s="778"/>
      <c r="QJV12" s="779"/>
      <c r="QJW12" s="780"/>
      <c r="QJX12" s="781"/>
      <c r="QJY12" s="782"/>
      <c r="QJZ12" s="782"/>
      <c r="QKA12" s="777"/>
      <c r="QKB12" s="778"/>
      <c r="QKC12" s="779"/>
      <c r="QKD12" s="780"/>
      <c r="QKE12" s="781"/>
      <c r="QKF12" s="782"/>
      <c r="QKG12" s="782"/>
      <c r="QKH12" s="777"/>
      <c r="QKI12" s="778"/>
      <c r="QKJ12" s="779"/>
      <c r="QKK12" s="780"/>
      <c r="QKL12" s="781"/>
      <c r="QKM12" s="782"/>
      <c r="QKN12" s="782"/>
      <c r="QKO12" s="777"/>
      <c r="QKP12" s="778"/>
      <c r="QKQ12" s="779"/>
      <c r="QKR12" s="780"/>
      <c r="QKS12" s="781"/>
      <c r="QKT12" s="782"/>
      <c r="QKU12" s="782"/>
      <c r="QKV12" s="777"/>
      <c r="QKW12" s="778"/>
      <c r="QKX12" s="779"/>
      <c r="QKY12" s="780"/>
      <c r="QKZ12" s="781"/>
      <c r="QLA12" s="782"/>
      <c r="QLB12" s="782"/>
      <c r="QLC12" s="777"/>
      <c r="QLD12" s="778"/>
      <c r="QLE12" s="779"/>
      <c r="QLF12" s="780"/>
      <c r="QLG12" s="781"/>
      <c r="QLH12" s="782"/>
      <c r="QLI12" s="782"/>
      <c r="QLJ12" s="777"/>
      <c r="QLK12" s="778"/>
      <c r="QLL12" s="779"/>
      <c r="QLM12" s="780"/>
      <c r="QLN12" s="781"/>
      <c r="QLO12" s="782"/>
      <c r="QLP12" s="782"/>
      <c r="QLQ12" s="777"/>
      <c r="QLR12" s="778"/>
      <c r="QLS12" s="779"/>
      <c r="QLT12" s="780"/>
      <c r="QLU12" s="781"/>
      <c r="QLV12" s="782"/>
      <c r="QLW12" s="782"/>
      <c r="QLX12" s="777"/>
      <c r="QLY12" s="778"/>
      <c r="QLZ12" s="779"/>
      <c r="QMA12" s="780"/>
      <c r="QMB12" s="781"/>
      <c r="QMC12" s="782"/>
      <c r="QMD12" s="782"/>
      <c r="QME12" s="777"/>
      <c r="QMF12" s="778"/>
      <c r="QMG12" s="779"/>
      <c r="QMH12" s="780"/>
      <c r="QMI12" s="781"/>
      <c r="QMJ12" s="782"/>
      <c r="QMK12" s="782"/>
      <c r="QML12" s="777"/>
      <c r="QMM12" s="778"/>
      <c r="QMN12" s="779"/>
      <c r="QMO12" s="780"/>
      <c r="QMP12" s="781"/>
      <c r="QMQ12" s="782"/>
      <c r="QMR12" s="782"/>
      <c r="QMS12" s="777"/>
      <c r="QMT12" s="778"/>
      <c r="QMU12" s="779"/>
      <c r="QMV12" s="780"/>
      <c r="QMW12" s="781"/>
      <c r="QMX12" s="782"/>
      <c r="QMY12" s="782"/>
      <c r="QMZ12" s="777"/>
      <c r="QNA12" s="778"/>
      <c r="QNB12" s="779"/>
      <c r="QNC12" s="780"/>
      <c r="QND12" s="781"/>
      <c r="QNE12" s="782"/>
      <c r="QNF12" s="782"/>
      <c r="QNG12" s="777"/>
      <c r="QNH12" s="778"/>
      <c r="QNI12" s="779"/>
      <c r="QNJ12" s="780"/>
      <c r="QNK12" s="781"/>
      <c r="QNL12" s="782"/>
      <c r="QNM12" s="782"/>
      <c r="QNN12" s="777"/>
      <c r="QNO12" s="778"/>
      <c r="QNP12" s="779"/>
      <c r="QNQ12" s="780"/>
      <c r="QNR12" s="781"/>
      <c r="QNS12" s="782"/>
      <c r="QNT12" s="782"/>
      <c r="QNU12" s="777"/>
      <c r="QNV12" s="778"/>
      <c r="QNW12" s="779"/>
      <c r="QNX12" s="780"/>
      <c r="QNY12" s="781"/>
      <c r="QNZ12" s="782"/>
      <c r="QOA12" s="782"/>
      <c r="QOB12" s="777"/>
      <c r="QOC12" s="778"/>
      <c r="QOD12" s="779"/>
      <c r="QOE12" s="780"/>
      <c r="QOF12" s="781"/>
      <c r="QOG12" s="782"/>
      <c r="QOH12" s="782"/>
      <c r="QOI12" s="777"/>
      <c r="QOJ12" s="778"/>
      <c r="QOK12" s="779"/>
      <c r="QOL12" s="780"/>
      <c r="QOM12" s="781"/>
      <c r="QON12" s="782"/>
      <c r="QOO12" s="782"/>
      <c r="QOP12" s="777"/>
      <c r="QOQ12" s="778"/>
      <c r="QOR12" s="779"/>
      <c r="QOS12" s="780"/>
      <c r="QOT12" s="781"/>
      <c r="QOU12" s="782"/>
      <c r="QOV12" s="782"/>
      <c r="QOW12" s="777"/>
      <c r="QOX12" s="778"/>
      <c r="QOY12" s="779"/>
      <c r="QOZ12" s="780"/>
      <c r="QPA12" s="781"/>
      <c r="QPB12" s="782"/>
      <c r="QPC12" s="782"/>
      <c r="QPD12" s="777"/>
      <c r="QPE12" s="778"/>
      <c r="QPF12" s="779"/>
      <c r="QPG12" s="780"/>
      <c r="QPH12" s="781"/>
      <c r="QPI12" s="782"/>
      <c r="QPJ12" s="782"/>
      <c r="QPK12" s="777"/>
      <c r="QPL12" s="778"/>
      <c r="QPM12" s="779"/>
      <c r="QPN12" s="780"/>
      <c r="QPO12" s="781"/>
      <c r="QPP12" s="782"/>
      <c r="QPQ12" s="782"/>
      <c r="QPR12" s="777"/>
      <c r="QPS12" s="778"/>
      <c r="QPT12" s="779"/>
      <c r="QPU12" s="780"/>
      <c r="QPV12" s="781"/>
      <c r="QPW12" s="782"/>
      <c r="QPX12" s="782"/>
      <c r="QPY12" s="777"/>
      <c r="QPZ12" s="778"/>
      <c r="QQA12" s="779"/>
      <c r="QQB12" s="780"/>
      <c r="QQC12" s="781"/>
      <c r="QQD12" s="782"/>
      <c r="QQE12" s="782"/>
      <c r="QQF12" s="777"/>
      <c r="QQG12" s="778"/>
      <c r="QQH12" s="779"/>
      <c r="QQI12" s="780"/>
      <c r="QQJ12" s="781"/>
      <c r="QQK12" s="782"/>
      <c r="QQL12" s="782"/>
      <c r="QQM12" s="777"/>
      <c r="QQN12" s="778"/>
      <c r="QQO12" s="779"/>
      <c r="QQP12" s="780"/>
      <c r="QQQ12" s="781"/>
      <c r="QQR12" s="782"/>
      <c r="QQS12" s="782"/>
      <c r="QQT12" s="777"/>
      <c r="QQU12" s="778"/>
      <c r="QQV12" s="779"/>
      <c r="QQW12" s="780"/>
      <c r="QQX12" s="781"/>
      <c r="QQY12" s="782"/>
      <c r="QQZ12" s="782"/>
      <c r="QRA12" s="777"/>
      <c r="QRB12" s="778"/>
      <c r="QRC12" s="779"/>
      <c r="QRD12" s="780"/>
      <c r="QRE12" s="781"/>
      <c r="QRF12" s="782"/>
      <c r="QRG12" s="782"/>
      <c r="QRH12" s="777"/>
      <c r="QRI12" s="778"/>
      <c r="QRJ12" s="779"/>
      <c r="QRK12" s="780"/>
      <c r="QRL12" s="781"/>
      <c r="QRM12" s="782"/>
      <c r="QRN12" s="782"/>
      <c r="QRO12" s="777"/>
      <c r="QRP12" s="778"/>
      <c r="QRQ12" s="779"/>
      <c r="QRR12" s="780"/>
      <c r="QRS12" s="781"/>
      <c r="QRT12" s="782"/>
      <c r="QRU12" s="782"/>
      <c r="QRV12" s="777"/>
      <c r="QRW12" s="778"/>
      <c r="QRX12" s="779"/>
      <c r="QRY12" s="780"/>
      <c r="QRZ12" s="781"/>
      <c r="QSA12" s="782"/>
      <c r="QSB12" s="782"/>
      <c r="QSC12" s="777"/>
      <c r="QSD12" s="778"/>
      <c r="QSE12" s="779"/>
      <c r="QSF12" s="780"/>
      <c r="QSG12" s="781"/>
      <c r="QSH12" s="782"/>
      <c r="QSI12" s="782"/>
      <c r="QSJ12" s="777"/>
      <c r="QSK12" s="778"/>
      <c r="QSL12" s="779"/>
      <c r="QSM12" s="780"/>
      <c r="QSN12" s="781"/>
      <c r="QSO12" s="782"/>
      <c r="QSP12" s="782"/>
      <c r="QSQ12" s="777"/>
      <c r="QSR12" s="778"/>
      <c r="QSS12" s="779"/>
      <c r="QST12" s="780"/>
      <c r="QSU12" s="781"/>
      <c r="QSV12" s="782"/>
      <c r="QSW12" s="782"/>
      <c r="QSX12" s="777"/>
      <c r="QSY12" s="778"/>
      <c r="QSZ12" s="779"/>
      <c r="QTA12" s="780"/>
      <c r="QTB12" s="781"/>
      <c r="QTC12" s="782"/>
      <c r="QTD12" s="782"/>
      <c r="QTE12" s="777"/>
      <c r="QTF12" s="778"/>
      <c r="QTG12" s="779"/>
      <c r="QTH12" s="780"/>
      <c r="QTI12" s="781"/>
      <c r="QTJ12" s="782"/>
      <c r="QTK12" s="782"/>
      <c r="QTL12" s="777"/>
      <c r="QTM12" s="778"/>
      <c r="QTN12" s="779"/>
      <c r="QTO12" s="780"/>
      <c r="QTP12" s="781"/>
      <c r="QTQ12" s="782"/>
      <c r="QTR12" s="782"/>
      <c r="QTS12" s="777"/>
      <c r="QTT12" s="778"/>
      <c r="QTU12" s="779"/>
      <c r="QTV12" s="780"/>
      <c r="QTW12" s="781"/>
      <c r="QTX12" s="782"/>
      <c r="QTY12" s="782"/>
      <c r="QTZ12" s="777"/>
      <c r="QUA12" s="778"/>
      <c r="QUB12" s="779"/>
      <c r="QUC12" s="780"/>
      <c r="QUD12" s="781"/>
      <c r="QUE12" s="782"/>
      <c r="QUF12" s="782"/>
      <c r="QUG12" s="777"/>
      <c r="QUH12" s="778"/>
      <c r="QUI12" s="779"/>
      <c r="QUJ12" s="780"/>
      <c r="QUK12" s="781"/>
      <c r="QUL12" s="782"/>
      <c r="QUM12" s="782"/>
      <c r="QUN12" s="777"/>
      <c r="QUO12" s="778"/>
      <c r="QUP12" s="779"/>
      <c r="QUQ12" s="780"/>
      <c r="QUR12" s="781"/>
      <c r="QUS12" s="782"/>
      <c r="QUT12" s="782"/>
      <c r="QUU12" s="777"/>
      <c r="QUV12" s="778"/>
      <c r="QUW12" s="779"/>
      <c r="QUX12" s="780"/>
      <c r="QUY12" s="781"/>
      <c r="QUZ12" s="782"/>
      <c r="QVA12" s="782"/>
      <c r="QVB12" s="777"/>
      <c r="QVC12" s="778"/>
      <c r="QVD12" s="779"/>
      <c r="QVE12" s="780"/>
      <c r="QVF12" s="781"/>
      <c r="QVG12" s="782"/>
      <c r="QVH12" s="782"/>
      <c r="QVI12" s="777"/>
      <c r="QVJ12" s="778"/>
      <c r="QVK12" s="779"/>
      <c r="QVL12" s="780"/>
      <c r="QVM12" s="781"/>
      <c r="QVN12" s="782"/>
      <c r="QVO12" s="782"/>
      <c r="QVP12" s="777"/>
      <c r="QVQ12" s="778"/>
      <c r="QVR12" s="779"/>
      <c r="QVS12" s="780"/>
      <c r="QVT12" s="781"/>
      <c r="QVU12" s="782"/>
      <c r="QVV12" s="782"/>
      <c r="QVW12" s="777"/>
      <c r="QVX12" s="778"/>
      <c r="QVY12" s="779"/>
      <c r="QVZ12" s="780"/>
      <c r="QWA12" s="781"/>
      <c r="QWB12" s="782"/>
      <c r="QWC12" s="782"/>
      <c r="QWD12" s="777"/>
      <c r="QWE12" s="778"/>
      <c r="QWF12" s="779"/>
      <c r="QWG12" s="780"/>
      <c r="QWH12" s="781"/>
      <c r="QWI12" s="782"/>
      <c r="QWJ12" s="782"/>
      <c r="QWK12" s="777"/>
      <c r="QWL12" s="778"/>
      <c r="QWM12" s="779"/>
      <c r="QWN12" s="780"/>
      <c r="QWO12" s="781"/>
      <c r="QWP12" s="782"/>
      <c r="QWQ12" s="782"/>
      <c r="QWR12" s="777"/>
      <c r="QWS12" s="778"/>
      <c r="QWT12" s="779"/>
      <c r="QWU12" s="780"/>
      <c r="QWV12" s="781"/>
      <c r="QWW12" s="782"/>
      <c r="QWX12" s="782"/>
      <c r="QWY12" s="777"/>
      <c r="QWZ12" s="778"/>
      <c r="QXA12" s="779"/>
      <c r="QXB12" s="780"/>
      <c r="QXC12" s="781"/>
      <c r="QXD12" s="782"/>
      <c r="QXE12" s="782"/>
      <c r="QXF12" s="777"/>
      <c r="QXG12" s="778"/>
      <c r="QXH12" s="779"/>
      <c r="QXI12" s="780"/>
      <c r="QXJ12" s="781"/>
      <c r="QXK12" s="782"/>
      <c r="QXL12" s="782"/>
      <c r="QXM12" s="777"/>
      <c r="QXN12" s="778"/>
      <c r="QXO12" s="779"/>
      <c r="QXP12" s="780"/>
      <c r="QXQ12" s="781"/>
      <c r="QXR12" s="782"/>
      <c r="QXS12" s="782"/>
      <c r="QXT12" s="777"/>
      <c r="QXU12" s="778"/>
      <c r="QXV12" s="779"/>
      <c r="QXW12" s="780"/>
      <c r="QXX12" s="781"/>
      <c r="QXY12" s="782"/>
      <c r="QXZ12" s="782"/>
      <c r="QYA12" s="777"/>
      <c r="QYB12" s="778"/>
      <c r="QYC12" s="779"/>
      <c r="QYD12" s="780"/>
      <c r="QYE12" s="781"/>
      <c r="QYF12" s="782"/>
      <c r="QYG12" s="782"/>
      <c r="QYH12" s="777"/>
      <c r="QYI12" s="778"/>
      <c r="QYJ12" s="779"/>
      <c r="QYK12" s="780"/>
      <c r="QYL12" s="781"/>
      <c r="QYM12" s="782"/>
      <c r="QYN12" s="782"/>
      <c r="QYO12" s="777"/>
      <c r="QYP12" s="778"/>
      <c r="QYQ12" s="779"/>
      <c r="QYR12" s="780"/>
      <c r="QYS12" s="781"/>
      <c r="QYT12" s="782"/>
      <c r="QYU12" s="782"/>
      <c r="QYV12" s="777"/>
      <c r="QYW12" s="778"/>
      <c r="QYX12" s="779"/>
      <c r="QYY12" s="780"/>
      <c r="QYZ12" s="781"/>
      <c r="QZA12" s="782"/>
      <c r="QZB12" s="782"/>
      <c r="QZC12" s="777"/>
      <c r="QZD12" s="778"/>
      <c r="QZE12" s="779"/>
      <c r="QZF12" s="780"/>
      <c r="QZG12" s="781"/>
      <c r="QZH12" s="782"/>
      <c r="QZI12" s="782"/>
      <c r="QZJ12" s="777"/>
      <c r="QZK12" s="778"/>
      <c r="QZL12" s="779"/>
      <c r="QZM12" s="780"/>
      <c r="QZN12" s="781"/>
      <c r="QZO12" s="782"/>
      <c r="QZP12" s="782"/>
      <c r="QZQ12" s="777"/>
      <c r="QZR12" s="778"/>
      <c r="QZS12" s="779"/>
      <c r="QZT12" s="780"/>
      <c r="QZU12" s="781"/>
      <c r="QZV12" s="782"/>
      <c r="QZW12" s="782"/>
      <c r="QZX12" s="777"/>
      <c r="QZY12" s="778"/>
      <c r="QZZ12" s="779"/>
      <c r="RAA12" s="780"/>
      <c r="RAB12" s="781"/>
      <c r="RAC12" s="782"/>
      <c r="RAD12" s="782"/>
      <c r="RAE12" s="777"/>
      <c r="RAF12" s="778"/>
      <c r="RAG12" s="779"/>
      <c r="RAH12" s="780"/>
      <c r="RAI12" s="781"/>
      <c r="RAJ12" s="782"/>
      <c r="RAK12" s="782"/>
      <c r="RAL12" s="777"/>
      <c r="RAM12" s="778"/>
      <c r="RAN12" s="779"/>
      <c r="RAO12" s="780"/>
      <c r="RAP12" s="781"/>
      <c r="RAQ12" s="782"/>
      <c r="RAR12" s="782"/>
      <c r="RAS12" s="777"/>
      <c r="RAT12" s="778"/>
      <c r="RAU12" s="779"/>
      <c r="RAV12" s="780"/>
      <c r="RAW12" s="781"/>
      <c r="RAX12" s="782"/>
      <c r="RAY12" s="782"/>
      <c r="RAZ12" s="777"/>
      <c r="RBA12" s="778"/>
      <c r="RBB12" s="779"/>
      <c r="RBC12" s="780"/>
      <c r="RBD12" s="781"/>
      <c r="RBE12" s="782"/>
      <c r="RBF12" s="782"/>
      <c r="RBG12" s="777"/>
      <c r="RBH12" s="778"/>
      <c r="RBI12" s="779"/>
      <c r="RBJ12" s="780"/>
      <c r="RBK12" s="781"/>
      <c r="RBL12" s="782"/>
      <c r="RBM12" s="782"/>
      <c r="RBN12" s="777"/>
      <c r="RBO12" s="778"/>
      <c r="RBP12" s="779"/>
      <c r="RBQ12" s="780"/>
      <c r="RBR12" s="781"/>
      <c r="RBS12" s="782"/>
      <c r="RBT12" s="782"/>
      <c r="RBU12" s="777"/>
      <c r="RBV12" s="778"/>
      <c r="RBW12" s="779"/>
      <c r="RBX12" s="780"/>
      <c r="RBY12" s="781"/>
      <c r="RBZ12" s="782"/>
      <c r="RCA12" s="782"/>
      <c r="RCB12" s="777"/>
      <c r="RCC12" s="778"/>
      <c r="RCD12" s="779"/>
      <c r="RCE12" s="780"/>
      <c r="RCF12" s="781"/>
      <c r="RCG12" s="782"/>
      <c r="RCH12" s="782"/>
      <c r="RCI12" s="777"/>
      <c r="RCJ12" s="778"/>
      <c r="RCK12" s="779"/>
      <c r="RCL12" s="780"/>
      <c r="RCM12" s="781"/>
      <c r="RCN12" s="782"/>
      <c r="RCO12" s="782"/>
      <c r="RCP12" s="777"/>
      <c r="RCQ12" s="778"/>
      <c r="RCR12" s="779"/>
      <c r="RCS12" s="780"/>
      <c r="RCT12" s="781"/>
      <c r="RCU12" s="782"/>
      <c r="RCV12" s="782"/>
      <c r="RCW12" s="777"/>
      <c r="RCX12" s="778"/>
      <c r="RCY12" s="779"/>
      <c r="RCZ12" s="780"/>
      <c r="RDA12" s="781"/>
      <c r="RDB12" s="782"/>
      <c r="RDC12" s="782"/>
      <c r="RDD12" s="777"/>
      <c r="RDE12" s="778"/>
      <c r="RDF12" s="779"/>
      <c r="RDG12" s="780"/>
      <c r="RDH12" s="781"/>
      <c r="RDI12" s="782"/>
      <c r="RDJ12" s="782"/>
      <c r="RDK12" s="777"/>
      <c r="RDL12" s="778"/>
      <c r="RDM12" s="779"/>
      <c r="RDN12" s="780"/>
      <c r="RDO12" s="781"/>
      <c r="RDP12" s="782"/>
      <c r="RDQ12" s="782"/>
      <c r="RDR12" s="777"/>
      <c r="RDS12" s="778"/>
      <c r="RDT12" s="779"/>
      <c r="RDU12" s="780"/>
      <c r="RDV12" s="781"/>
      <c r="RDW12" s="782"/>
      <c r="RDX12" s="782"/>
      <c r="RDY12" s="777"/>
      <c r="RDZ12" s="778"/>
      <c r="REA12" s="779"/>
      <c r="REB12" s="780"/>
      <c r="REC12" s="781"/>
      <c r="RED12" s="782"/>
      <c r="REE12" s="782"/>
      <c r="REF12" s="777"/>
      <c r="REG12" s="778"/>
      <c r="REH12" s="779"/>
      <c r="REI12" s="780"/>
      <c r="REJ12" s="781"/>
      <c r="REK12" s="782"/>
      <c r="REL12" s="782"/>
      <c r="REM12" s="777"/>
      <c r="REN12" s="778"/>
      <c r="REO12" s="779"/>
      <c r="REP12" s="780"/>
      <c r="REQ12" s="781"/>
      <c r="RER12" s="782"/>
      <c r="RES12" s="782"/>
      <c r="RET12" s="777"/>
      <c r="REU12" s="778"/>
      <c r="REV12" s="779"/>
      <c r="REW12" s="780"/>
      <c r="REX12" s="781"/>
      <c r="REY12" s="782"/>
      <c r="REZ12" s="782"/>
      <c r="RFA12" s="777"/>
      <c r="RFB12" s="778"/>
      <c r="RFC12" s="779"/>
      <c r="RFD12" s="780"/>
      <c r="RFE12" s="781"/>
      <c r="RFF12" s="782"/>
      <c r="RFG12" s="782"/>
      <c r="RFH12" s="777"/>
      <c r="RFI12" s="778"/>
      <c r="RFJ12" s="779"/>
      <c r="RFK12" s="780"/>
      <c r="RFL12" s="781"/>
      <c r="RFM12" s="782"/>
      <c r="RFN12" s="782"/>
      <c r="RFO12" s="777"/>
      <c r="RFP12" s="778"/>
      <c r="RFQ12" s="779"/>
      <c r="RFR12" s="780"/>
      <c r="RFS12" s="781"/>
      <c r="RFT12" s="782"/>
      <c r="RFU12" s="782"/>
      <c r="RFV12" s="777"/>
      <c r="RFW12" s="778"/>
      <c r="RFX12" s="779"/>
      <c r="RFY12" s="780"/>
      <c r="RFZ12" s="781"/>
      <c r="RGA12" s="782"/>
      <c r="RGB12" s="782"/>
      <c r="RGC12" s="777"/>
      <c r="RGD12" s="778"/>
      <c r="RGE12" s="779"/>
      <c r="RGF12" s="780"/>
      <c r="RGG12" s="781"/>
      <c r="RGH12" s="782"/>
      <c r="RGI12" s="782"/>
      <c r="RGJ12" s="777"/>
      <c r="RGK12" s="778"/>
      <c r="RGL12" s="779"/>
      <c r="RGM12" s="780"/>
      <c r="RGN12" s="781"/>
      <c r="RGO12" s="782"/>
      <c r="RGP12" s="782"/>
      <c r="RGQ12" s="777"/>
      <c r="RGR12" s="778"/>
      <c r="RGS12" s="779"/>
      <c r="RGT12" s="780"/>
      <c r="RGU12" s="781"/>
      <c r="RGV12" s="782"/>
      <c r="RGW12" s="782"/>
      <c r="RGX12" s="777"/>
      <c r="RGY12" s="778"/>
      <c r="RGZ12" s="779"/>
      <c r="RHA12" s="780"/>
      <c r="RHB12" s="781"/>
      <c r="RHC12" s="782"/>
      <c r="RHD12" s="782"/>
      <c r="RHE12" s="777"/>
      <c r="RHF12" s="778"/>
      <c r="RHG12" s="779"/>
      <c r="RHH12" s="780"/>
      <c r="RHI12" s="781"/>
      <c r="RHJ12" s="782"/>
      <c r="RHK12" s="782"/>
      <c r="RHL12" s="777"/>
      <c r="RHM12" s="778"/>
      <c r="RHN12" s="779"/>
      <c r="RHO12" s="780"/>
      <c r="RHP12" s="781"/>
      <c r="RHQ12" s="782"/>
      <c r="RHR12" s="782"/>
      <c r="RHS12" s="777"/>
      <c r="RHT12" s="778"/>
      <c r="RHU12" s="779"/>
      <c r="RHV12" s="780"/>
      <c r="RHW12" s="781"/>
      <c r="RHX12" s="782"/>
      <c r="RHY12" s="782"/>
      <c r="RHZ12" s="777"/>
      <c r="RIA12" s="778"/>
      <c r="RIB12" s="779"/>
      <c r="RIC12" s="780"/>
      <c r="RID12" s="781"/>
      <c r="RIE12" s="782"/>
      <c r="RIF12" s="782"/>
      <c r="RIG12" s="777"/>
      <c r="RIH12" s="778"/>
      <c r="RII12" s="779"/>
      <c r="RIJ12" s="780"/>
      <c r="RIK12" s="781"/>
      <c r="RIL12" s="782"/>
      <c r="RIM12" s="782"/>
      <c r="RIN12" s="777"/>
      <c r="RIO12" s="778"/>
      <c r="RIP12" s="779"/>
      <c r="RIQ12" s="780"/>
      <c r="RIR12" s="781"/>
      <c r="RIS12" s="782"/>
      <c r="RIT12" s="782"/>
      <c r="RIU12" s="777"/>
      <c r="RIV12" s="778"/>
      <c r="RIW12" s="779"/>
      <c r="RIX12" s="780"/>
      <c r="RIY12" s="781"/>
      <c r="RIZ12" s="782"/>
      <c r="RJA12" s="782"/>
      <c r="RJB12" s="777"/>
      <c r="RJC12" s="778"/>
      <c r="RJD12" s="779"/>
      <c r="RJE12" s="780"/>
      <c r="RJF12" s="781"/>
      <c r="RJG12" s="782"/>
      <c r="RJH12" s="782"/>
      <c r="RJI12" s="777"/>
      <c r="RJJ12" s="778"/>
      <c r="RJK12" s="779"/>
      <c r="RJL12" s="780"/>
      <c r="RJM12" s="781"/>
      <c r="RJN12" s="782"/>
      <c r="RJO12" s="782"/>
      <c r="RJP12" s="777"/>
      <c r="RJQ12" s="778"/>
      <c r="RJR12" s="779"/>
      <c r="RJS12" s="780"/>
      <c r="RJT12" s="781"/>
      <c r="RJU12" s="782"/>
      <c r="RJV12" s="782"/>
      <c r="RJW12" s="777"/>
      <c r="RJX12" s="778"/>
      <c r="RJY12" s="779"/>
      <c r="RJZ12" s="780"/>
      <c r="RKA12" s="781"/>
      <c r="RKB12" s="782"/>
      <c r="RKC12" s="782"/>
      <c r="RKD12" s="777"/>
      <c r="RKE12" s="778"/>
      <c r="RKF12" s="779"/>
      <c r="RKG12" s="780"/>
      <c r="RKH12" s="781"/>
      <c r="RKI12" s="782"/>
      <c r="RKJ12" s="782"/>
      <c r="RKK12" s="777"/>
      <c r="RKL12" s="778"/>
      <c r="RKM12" s="779"/>
      <c r="RKN12" s="780"/>
      <c r="RKO12" s="781"/>
      <c r="RKP12" s="782"/>
      <c r="RKQ12" s="782"/>
      <c r="RKR12" s="777"/>
      <c r="RKS12" s="778"/>
      <c r="RKT12" s="779"/>
      <c r="RKU12" s="780"/>
      <c r="RKV12" s="781"/>
      <c r="RKW12" s="782"/>
      <c r="RKX12" s="782"/>
      <c r="RKY12" s="777"/>
      <c r="RKZ12" s="778"/>
      <c r="RLA12" s="779"/>
      <c r="RLB12" s="780"/>
      <c r="RLC12" s="781"/>
      <c r="RLD12" s="782"/>
      <c r="RLE12" s="782"/>
      <c r="RLF12" s="777"/>
      <c r="RLG12" s="778"/>
      <c r="RLH12" s="779"/>
      <c r="RLI12" s="780"/>
      <c r="RLJ12" s="781"/>
      <c r="RLK12" s="782"/>
      <c r="RLL12" s="782"/>
      <c r="RLM12" s="777"/>
      <c r="RLN12" s="778"/>
      <c r="RLO12" s="779"/>
      <c r="RLP12" s="780"/>
      <c r="RLQ12" s="781"/>
      <c r="RLR12" s="782"/>
      <c r="RLS12" s="782"/>
      <c r="RLT12" s="777"/>
      <c r="RLU12" s="778"/>
      <c r="RLV12" s="779"/>
      <c r="RLW12" s="780"/>
      <c r="RLX12" s="781"/>
      <c r="RLY12" s="782"/>
      <c r="RLZ12" s="782"/>
      <c r="RMA12" s="777"/>
      <c r="RMB12" s="778"/>
      <c r="RMC12" s="779"/>
      <c r="RMD12" s="780"/>
      <c r="RME12" s="781"/>
      <c r="RMF12" s="782"/>
      <c r="RMG12" s="782"/>
      <c r="RMH12" s="777"/>
      <c r="RMI12" s="778"/>
      <c r="RMJ12" s="779"/>
      <c r="RMK12" s="780"/>
      <c r="RML12" s="781"/>
      <c r="RMM12" s="782"/>
      <c r="RMN12" s="782"/>
      <c r="RMO12" s="777"/>
      <c r="RMP12" s="778"/>
      <c r="RMQ12" s="779"/>
      <c r="RMR12" s="780"/>
      <c r="RMS12" s="781"/>
      <c r="RMT12" s="782"/>
      <c r="RMU12" s="782"/>
      <c r="RMV12" s="777"/>
      <c r="RMW12" s="778"/>
      <c r="RMX12" s="779"/>
      <c r="RMY12" s="780"/>
      <c r="RMZ12" s="781"/>
      <c r="RNA12" s="782"/>
      <c r="RNB12" s="782"/>
      <c r="RNC12" s="777"/>
      <c r="RND12" s="778"/>
      <c r="RNE12" s="779"/>
      <c r="RNF12" s="780"/>
      <c r="RNG12" s="781"/>
      <c r="RNH12" s="782"/>
      <c r="RNI12" s="782"/>
      <c r="RNJ12" s="777"/>
      <c r="RNK12" s="778"/>
      <c r="RNL12" s="779"/>
      <c r="RNM12" s="780"/>
      <c r="RNN12" s="781"/>
      <c r="RNO12" s="782"/>
      <c r="RNP12" s="782"/>
      <c r="RNQ12" s="777"/>
      <c r="RNR12" s="778"/>
      <c r="RNS12" s="779"/>
      <c r="RNT12" s="780"/>
      <c r="RNU12" s="781"/>
      <c r="RNV12" s="782"/>
      <c r="RNW12" s="782"/>
      <c r="RNX12" s="777"/>
      <c r="RNY12" s="778"/>
      <c r="RNZ12" s="779"/>
      <c r="ROA12" s="780"/>
      <c r="ROB12" s="781"/>
      <c r="ROC12" s="782"/>
      <c r="ROD12" s="782"/>
      <c r="ROE12" s="777"/>
      <c r="ROF12" s="778"/>
      <c r="ROG12" s="779"/>
      <c r="ROH12" s="780"/>
      <c r="ROI12" s="781"/>
      <c r="ROJ12" s="782"/>
      <c r="ROK12" s="782"/>
      <c r="ROL12" s="777"/>
      <c r="ROM12" s="778"/>
      <c r="RON12" s="779"/>
      <c r="ROO12" s="780"/>
      <c r="ROP12" s="781"/>
      <c r="ROQ12" s="782"/>
      <c r="ROR12" s="782"/>
      <c r="ROS12" s="777"/>
      <c r="ROT12" s="778"/>
      <c r="ROU12" s="779"/>
      <c r="ROV12" s="780"/>
      <c r="ROW12" s="781"/>
      <c r="ROX12" s="782"/>
      <c r="ROY12" s="782"/>
      <c r="ROZ12" s="777"/>
      <c r="RPA12" s="778"/>
      <c r="RPB12" s="779"/>
      <c r="RPC12" s="780"/>
      <c r="RPD12" s="781"/>
      <c r="RPE12" s="782"/>
      <c r="RPF12" s="782"/>
      <c r="RPG12" s="777"/>
      <c r="RPH12" s="778"/>
      <c r="RPI12" s="779"/>
      <c r="RPJ12" s="780"/>
      <c r="RPK12" s="781"/>
      <c r="RPL12" s="782"/>
      <c r="RPM12" s="782"/>
      <c r="RPN12" s="777"/>
      <c r="RPO12" s="778"/>
      <c r="RPP12" s="779"/>
      <c r="RPQ12" s="780"/>
      <c r="RPR12" s="781"/>
      <c r="RPS12" s="782"/>
      <c r="RPT12" s="782"/>
      <c r="RPU12" s="777"/>
      <c r="RPV12" s="778"/>
      <c r="RPW12" s="779"/>
      <c r="RPX12" s="780"/>
      <c r="RPY12" s="781"/>
      <c r="RPZ12" s="782"/>
      <c r="RQA12" s="782"/>
      <c r="RQB12" s="777"/>
      <c r="RQC12" s="778"/>
      <c r="RQD12" s="779"/>
      <c r="RQE12" s="780"/>
      <c r="RQF12" s="781"/>
      <c r="RQG12" s="782"/>
      <c r="RQH12" s="782"/>
      <c r="RQI12" s="777"/>
      <c r="RQJ12" s="778"/>
      <c r="RQK12" s="779"/>
      <c r="RQL12" s="780"/>
      <c r="RQM12" s="781"/>
      <c r="RQN12" s="782"/>
      <c r="RQO12" s="782"/>
      <c r="RQP12" s="777"/>
      <c r="RQQ12" s="778"/>
      <c r="RQR12" s="779"/>
      <c r="RQS12" s="780"/>
      <c r="RQT12" s="781"/>
      <c r="RQU12" s="782"/>
      <c r="RQV12" s="782"/>
      <c r="RQW12" s="777"/>
      <c r="RQX12" s="778"/>
      <c r="RQY12" s="779"/>
      <c r="RQZ12" s="780"/>
      <c r="RRA12" s="781"/>
      <c r="RRB12" s="782"/>
      <c r="RRC12" s="782"/>
      <c r="RRD12" s="777"/>
      <c r="RRE12" s="778"/>
      <c r="RRF12" s="779"/>
      <c r="RRG12" s="780"/>
      <c r="RRH12" s="781"/>
      <c r="RRI12" s="782"/>
      <c r="RRJ12" s="782"/>
      <c r="RRK12" s="777"/>
      <c r="RRL12" s="778"/>
      <c r="RRM12" s="779"/>
      <c r="RRN12" s="780"/>
      <c r="RRO12" s="781"/>
      <c r="RRP12" s="782"/>
      <c r="RRQ12" s="782"/>
      <c r="RRR12" s="777"/>
      <c r="RRS12" s="778"/>
      <c r="RRT12" s="779"/>
      <c r="RRU12" s="780"/>
      <c r="RRV12" s="781"/>
      <c r="RRW12" s="782"/>
      <c r="RRX12" s="782"/>
      <c r="RRY12" s="777"/>
      <c r="RRZ12" s="778"/>
      <c r="RSA12" s="779"/>
      <c r="RSB12" s="780"/>
      <c r="RSC12" s="781"/>
      <c r="RSD12" s="782"/>
      <c r="RSE12" s="782"/>
      <c r="RSF12" s="777"/>
      <c r="RSG12" s="778"/>
      <c r="RSH12" s="779"/>
      <c r="RSI12" s="780"/>
      <c r="RSJ12" s="781"/>
      <c r="RSK12" s="782"/>
      <c r="RSL12" s="782"/>
      <c r="RSM12" s="777"/>
      <c r="RSN12" s="778"/>
      <c r="RSO12" s="779"/>
      <c r="RSP12" s="780"/>
      <c r="RSQ12" s="781"/>
      <c r="RSR12" s="782"/>
      <c r="RSS12" s="782"/>
      <c r="RST12" s="777"/>
      <c r="RSU12" s="778"/>
      <c r="RSV12" s="779"/>
      <c r="RSW12" s="780"/>
      <c r="RSX12" s="781"/>
      <c r="RSY12" s="782"/>
      <c r="RSZ12" s="782"/>
      <c r="RTA12" s="777"/>
      <c r="RTB12" s="778"/>
      <c r="RTC12" s="779"/>
      <c r="RTD12" s="780"/>
      <c r="RTE12" s="781"/>
      <c r="RTF12" s="782"/>
      <c r="RTG12" s="782"/>
      <c r="RTH12" s="777"/>
      <c r="RTI12" s="778"/>
      <c r="RTJ12" s="779"/>
      <c r="RTK12" s="780"/>
      <c r="RTL12" s="781"/>
      <c r="RTM12" s="782"/>
      <c r="RTN12" s="782"/>
      <c r="RTO12" s="777"/>
      <c r="RTP12" s="778"/>
      <c r="RTQ12" s="779"/>
      <c r="RTR12" s="780"/>
      <c r="RTS12" s="781"/>
      <c r="RTT12" s="782"/>
      <c r="RTU12" s="782"/>
      <c r="RTV12" s="777"/>
      <c r="RTW12" s="778"/>
      <c r="RTX12" s="779"/>
      <c r="RTY12" s="780"/>
      <c r="RTZ12" s="781"/>
      <c r="RUA12" s="782"/>
      <c r="RUB12" s="782"/>
      <c r="RUC12" s="777"/>
      <c r="RUD12" s="778"/>
      <c r="RUE12" s="779"/>
      <c r="RUF12" s="780"/>
      <c r="RUG12" s="781"/>
      <c r="RUH12" s="782"/>
      <c r="RUI12" s="782"/>
      <c r="RUJ12" s="777"/>
      <c r="RUK12" s="778"/>
      <c r="RUL12" s="779"/>
      <c r="RUM12" s="780"/>
      <c r="RUN12" s="781"/>
      <c r="RUO12" s="782"/>
      <c r="RUP12" s="782"/>
      <c r="RUQ12" s="777"/>
      <c r="RUR12" s="778"/>
      <c r="RUS12" s="779"/>
      <c r="RUT12" s="780"/>
      <c r="RUU12" s="781"/>
      <c r="RUV12" s="782"/>
      <c r="RUW12" s="782"/>
      <c r="RUX12" s="777"/>
      <c r="RUY12" s="778"/>
      <c r="RUZ12" s="779"/>
      <c r="RVA12" s="780"/>
      <c r="RVB12" s="781"/>
      <c r="RVC12" s="782"/>
      <c r="RVD12" s="782"/>
      <c r="RVE12" s="777"/>
      <c r="RVF12" s="778"/>
      <c r="RVG12" s="779"/>
      <c r="RVH12" s="780"/>
      <c r="RVI12" s="781"/>
      <c r="RVJ12" s="782"/>
      <c r="RVK12" s="782"/>
      <c r="RVL12" s="777"/>
      <c r="RVM12" s="778"/>
      <c r="RVN12" s="779"/>
      <c r="RVO12" s="780"/>
      <c r="RVP12" s="781"/>
      <c r="RVQ12" s="782"/>
      <c r="RVR12" s="782"/>
      <c r="RVS12" s="777"/>
      <c r="RVT12" s="778"/>
      <c r="RVU12" s="779"/>
      <c r="RVV12" s="780"/>
      <c r="RVW12" s="781"/>
      <c r="RVX12" s="782"/>
      <c r="RVY12" s="782"/>
      <c r="RVZ12" s="777"/>
      <c r="RWA12" s="778"/>
      <c r="RWB12" s="779"/>
      <c r="RWC12" s="780"/>
      <c r="RWD12" s="781"/>
      <c r="RWE12" s="782"/>
      <c r="RWF12" s="782"/>
      <c r="RWG12" s="777"/>
      <c r="RWH12" s="778"/>
      <c r="RWI12" s="779"/>
      <c r="RWJ12" s="780"/>
      <c r="RWK12" s="781"/>
      <c r="RWL12" s="782"/>
      <c r="RWM12" s="782"/>
      <c r="RWN12" s="777"/>
      <c r="RWO12" s="778"/>
      <c r="RWP12" s="779"/>
      <c r="RWQ12" s="780"/>
      <c r="RWR12" s="781"/>
      <c r="RWS12" s="782"/>
      <c r="RWT12" s="782"/>
      <c r="RWU12" s="777"/>
      <c r="RWV12" s="778"/>
      <c r="RWW12" s="779"/>
      <c r="RWX12" s="780"/>
      <c r="RWY12" s="781"/>
      <c r="RWZ12" s="782"/>
      <c r="RXA12" s="782"/>
      <c r="RXB12" s="777"/>
      <c r="RXC12" s="778"/>
      <c r="RXD12" s="779"/>
      <c r="RXE12" s="780"/>
      <c r="RXF12" s="781"/>
      <c r="RXG12" s="782"/>
      <c r="RXH12" s="782"/>
      <c r="RXI12" s="777"/>
      <c r="RXJ12" s="778"/>
      <c r="RXK12" s="779"/>
      <c r="RXL12" s="780"/>
      <c r="RXM12" s="781"/>
      <c r="RXN12" s="782"/>
      <c r="RXO12" s="782"/>
      <c r="RXP12" s="777"/>
      <c r="RXQ12" s="778"/>
      <c r="RXR12" s="779"/>
      <c r="RXS12" s="780"/>
      <c r="RXT12" s="781"/>
      <c r="RXU12" s="782"/>
      <c r="RXV12" s="782"/>
      <c r="RXW12" s="777"/>
      <c r="RXX12" s="778"/>
      <c r="RXY12" s="779"/>
      <c r="RXZ12" s="780"/>
      <c r="RYA12" s="781"/>
      <c r="RYB12" s="782"/>
      <c r="RYC12" s="782"/>
      <c r="RYD12" s="777"/>
      <c r="RYE12" s="778"/>
      <c r="RYF12" s="779"/>
      <c r="RYG12" s="780"/>
      <c r="RYH12" s="781"/>
      <c r="RYI12" s="782"/>
      <c r="RYJ12" s="782"/>
      <c r="RYK12" s="777"/>
      <c r="RYL12" s="778"/>
      <c r="RYM12" s="779"/>
      <c r="RYN12" s="780"/>
      <c r="RYO12" s="781"/>
      <c r="RYP12" s="782"/>
      <c r="RYQ12" s="782"/>
      <c r="RYR12" s="777"/>
      <c r="RYS12" s="778"/>
      <c r="RYT12" s="779"/>
      <c r="RYU12" s="780"/>
      <c r="RYV12" s="781"/>
      <c r="RYW12" s="782"/>
      <c r="RYX12" s="782"/>
      <c r="RYY12" s="777"/>
      <c r="RYZ12" s="778"/>
      <c r="RZA12" s="779"/>
      <c r="RZB12" s="780"/>
      <c r="RZC12" s="781"/>
      <c r="RZD12" s="782"/>
      <c r="RZE12" s="782"/>
      <c r="RZF12" s="777"/>
      <c r="RZG12" s="778"/>
      <c r="RZH12" s="779"/>
      <c r="RZI12" s="780"/>
      <c r="RZJ12" s="781"/>
      <c r="RZK12" s="782"/>
      <c r="RZL12" s="782"/>
      <c r="RZM12" s="777"/>
      <c r="RZN12" s="778"/>
      <c r="RZO12" s="779"/>
      <c r="RZP12" s="780"/>
      <c r="RZQ12" s="781"/>
      <c r="RZR12" s="782"/>
      <c r="RZS12" s="782"/>
      <c r="RZT12" s="777"/>
      <c r="RZU12" s="778"/>
      <c r="RZV12" s="779"/>
      <c r="RZW12" s="780"/>
      <c r="RZX12" s="781"/>
      <c r="RZY12" s="782"/>
      <c r="RZZ12" s="782"/>
      <c r="SAA12" s="777"/>
      <c r="SAB12" s="778"/>
      <c r="SAC12" s="779"/>
      <c r="SAD12" s="780"/>
      <c r="SAE12" s="781"/>
      <c r="SAF12" s="782"/>
      <c r="SAG12" s="782"/>
      <c r="SAH12" s="777"/>
      <c r="SAI12" s="778"/>
      <c r="SAJ12" s="779"/>
      <c r="SAK12" s="780"/>
      <c r="SAL12" s="781"/>
      <c r="SAM12" s="782"/>
      <c r="SAN12" s="782"/>
      <c r="SAO12" s="777"/>
      <c r="SAP12" s="778"/>
      <c r="SAQ12" s="779"/>
      <c r="SAR12" s="780"/>
      <c r="SAS12" s="781"/>
      <c r="SAT12" s="782"/>
      <c r="SAU12" s="782"/>
      <c r="SAV12" s="777"/>
      <c r="SAW12" s="778"/>
      <c r="SAX12" s="779"/>
      <c r="SAY12" s="780"/>
      <c r="SAZ12" s="781"/>
      <c r="SBA12" s="782"/>
      <c r="SBB12" s="782"/>
      <c r="SBC12" s="777"/>
      <c r="SBD12" s="778"/>
      <c r="SBE12" s="779"/>
      <c r="SBF12" s="780"/>
      <c r="SBG12" s="781"/>
      <c r="SBH12" s="782"/>
      <c r="SBI12" s="782"/>
      <c r="SBJ12" s="777"/>
      <c r="SBK12" s="778"/>
      <c r="SBL12" s="779"/>
      <c r="SBM12" s="780"/>
      <c r="SBN12" s="781"/>
      <c r="SBO12" s="782"/>
      <c r="SBP12" s="782"/>
      <c r="SBQ12" s="777"/>
      <c r="SBR12" s="778"/>
      <c r="SBS12" s="779"/>
      <c r="SBT12" s="780"/>
      <c r="SBU12" s="781"/>
      <c r="SBV12" s="782"/>
      <c r="SBW12" s="782"/>
      <c r="SBX12" s="777"/>
      <c r="SBY12" s="778"/>
      <c r="SBZ12" s="779"/>
      <c r="SCA12" s="780"/>
      <c r="SCB12" s="781"/>
      <c r="SCC12" s="782"/>
      <c r="SCD12" s="782"/>
      <c r="SCE12" s="777"/>
      <c r="SCF12" s="778"/>
      <c r="SCG12" s="779"/>
      <c r="SCH12" s="780"/>
      <c r="SCI12" s="781"/>
      <c r="SCJ12" s="782"/>
      <c r="SCK12" s="782"/>
      <c r="SCL12" s="777"/>
      <c r="SCM12" s="778"/>
      <c r="SCN12" s="779"/>
      <c r="SCO12" s="780"/>
      <c r="SCP12" s="781"/>
      <c r="SCQ12" s="782"/>
      <c r="SCR12" s="782"/>
      <c r="SCS12" s="777"/>
      <c r="SCT12" s="778"/>
      <c r="SCU12" s="779"/>
      <c r="SCV12" s="780"/>
      <c r="SCW12" s="781"/>
      <c r="SCX12" s="782"/>
      <c r="SCY12" s="782"/>
      <c r="SCZ12" s="777"/>
      <c r="SDA12" s="778"/>
      <c r="SDB12" s="779"/>
      <c r="SDC12" s="780"/>
      <c r="SDD12" s="781"/>
      <c r="SDE12" s="782"/>
      <c r="SDF12" s="782"/>
      <c r="SDG12" s="777"/>
      <c r="SDH12" s="778"/>
      <c r="SDI12" s="779"/>
      <c r="SDJ12" s="780"/>
      <c r="SDK12" s="781"/>
      <c r="SDL12" s="782"/>
      <c r="SDM12" s="782"/>
      <c r="SDN12" s="777"/>
      <c r="SDO12" s="778"/>
      <c r="SDP12" s="779"/>
      <c r="SDQ12" s="780"/>
      <c r="SDR12" s="781"/>
      <c r="SDS12" s="782"/>
      <c r="SDT12" s="782"/>
      <c r="SDU12" s="777"/>
      <c r="SDV12" s="778"/>
      <c r="SDW12" s="779"/>
      <c r="SDX12" s="780"/>
      <c r="SDY12" s="781"/>
      <c r="SDZ12" s="782"/>
      <c r="SEA12" s="782"/>
      <c r="SEB12" s="777"/>
      <c r="SEC12" s="778"/>
      <c r="SED12" s="779"/>
      <c r="SEE12" s="780"/>
      <c r="SEF12" s="781"/>
      <c r="SEG12" s="782"/>
      <c r="SEH12" s="782"/>
      <c r="SEI12" s="777"/>
      <c r="SEJ12" s="778"/>
      <c r="SEK12" s="779"/>
      <c r="SEL12" s="780"/>
      <c r="SEM12" s="781"/>
      <c r="SEN12" s="782"/>
      <c r="SEO12" s="782"/>
      <c r="SEP12" s="777"/>
      <c r="SEQ12" s="778"/>
      <c r="SER12" s="779"/>
      <c r="SES12" s="780"/>
      <c r="SET12" s="781"/>
      <c r="SEU12" s="782"/>
      <c r="SEV12" s="782"/>
      <c r="SEW12" s="777"/>
      <c r="SEX12" s="778"/>
      <c r="SEY12" s="779"/>
      <c r="SEZ12" s="780"/>
      <c r="SFA12" s="781"/>
      <c r="SFB12" s="782"/>
      <c r="SFC12" s="782"/>
      <c r="SFD12" s="777"/>
      <c r="SFE12" s="778"/>
      <c r="SFF12" s="779"/>
      <c r="SFG12" s="780"/>
      <c r="SFH12" s="781"/>
      <c r="SFI12" s="782"/>
      <c r="SFJ12" s="782"/>
      <c r="SFK12" s="777"/>
      <c r="SFL12" s="778"/>
      <c r="SFM12" s="779"/>
      <c r="SFN12" s="780"/>
      <c r="SFO12" s="781"/>
      <c r="SFP12" s="782"/>
      <c r="SFQ12" s="782"/>
      <c r="SFR12" s="777"/>
      <c r="SFS12" s="778"/>
      <c r="SFT12" s="779"/>
      <c r="SFU12" s="780"/>
      <c r="SFV12" s="781"/>
      <c r="SFW12" s="782"/>
      <c r="SFX12" s="782"/>
      <c r="SFY12" s="777"/>
      <c r="SFZ12" s="778"/>
      <c r="SGA12" s="779"/>
      <c r="SGB12" s="780"/>
      <c r="SGC12" s="781"/>
      <c r="SGD12" s="782"/>
      <c r="SGE12" s="782"/>
      <c r="SGF12" s="777"/>
      <c r="SGG12" s="778"/>
      <c r="SGH12" s="779"/>
      <c r="SGI12" s="780"/>
      <c r="SGJ12" s="781"/>
      <c r="SGK12" s="782"/>
      <c r="SGL12" s="782"/>
      <c r="SGM12" s="777"/>
      <c r="SGN12" s="778"/>
      <c r="SGO12" s="779"/>
      <c r="SGP12" s="780"/>
      <c r="SGQ12" s="781"/>
      <c r="SGR12" s="782"/>
      <c r="SGS12" s="782"/>
      <c r="SGT12" s="777"/>
      <c r="SGU12" s="778"/>
      <c r="SGV12" s="779"/>
      <c r="SGW12" s="780"/>
      <c r="SGX12" s="781"/>
      <c r="SGY12" s="782"/>
      <c r="SGZ12" s="782"/>
      <c r="SHA12" s="777"/>
      <c r="SHB12" s="778"/>
      <c r="SHC12" s="779"/>
      <c r="SHD12" s="780"/>
      <c r="SHE12" s="781"/>
      <c r="SHF12" s="782"/>
      <c r="SHG12" s="782"/>
      <c r="SHH12" s="777"/>
      <c r="SHI12" s="778"/>
      <c r="SHJ12" s="779"/>
      <c r="SHK12" s="780"/>
      <c r="SHL12" s="781"/>
      <c r="SHM12" s="782"/>
      <c r="SHN12" s="782"/>
      <c r="SHO12" s="777"/>
      <c r="SHP12" s="778"/>
      <c r="SHQ12" s="779"/>
      <c r="SHR12" s="780"/>
      <c r="SHS12" s="781"/>
      <c r="SHT12" s="782"/>
      <c r="SHU12" s="782"/>
      <c r="SHV12" s="777"/>
      <c r="SHW12" s="778"/>
      <c r="SHX12" s="779"/>
      <c r="SHY12" s="780"/>
      <c r="SHZ12" s="781"/>
      <c r="SIA12" s="782"/>
      <c r="SIB12" s="782"/>
      <c r="SIC12" s="777"/>
      <c r="SID12" s="778"/>
      <c r="SIE12" s="779"/>
      <c r="SIF12" s="780"/>
      <c r="SIG12" s="781"/>
      <c r="SIH12" s="782"/>
      <c r="SII12" s="782"/>
      <c r="SIJ12" s="777"/>
      <c r="SIK12" s="778"/>
      <c r="SIL12" s="779"/>
      <c r="SIM12" s="780"/>
      <c r="SIN12" s="781"/>
      <c r="SIO12" s="782"/>
      <c r="SIP12" s="782"/>
      <c r="SIQ12" s="777"/>
      <c r="SIR12" s="778"/>
      <c r="SIS12" s="779"/>
      <c r="SIT12" s="780"/>
      <c r="SIU12" s="781"/>
      <c r="SIV12" s="782"/>
      <c r="SIW12" s="782"/>
      <c r="SIX12" s="777"/>
      <c r="SIY12" s="778"/>
      <c r="SIZ12" s="779"/>
      <c r="SJA12" s="780"/>
      <c r="SJB12" s="781"/>
      <c r="SJC12" s="782"/>
      <c r="SJD12" s="782"/>
      <c r="SJE12" s="777"/>
      <c r="SJF12" s="778"/>
      <c r="SJG12" s="779"/>
      <c r="SJH12" s="780"/>
      <c r="SJI12" s="781"/>
      <c r="SJJ12" s="782"/>
      <c r="SJK12" s="782"/>
      <c r="SJL12" s="777"/>
      <c r="SJM12" s="778"/>
      <c r="SJN12" s="779"/>
      <c r="SJO12" s="780"/>
      <c r="SJP12" s="781"/>
      <c r="SJQ12" s="782"/>
      <c r="SJR12" s="782"/>
      <c r="SJS12" s="777"/>
      <c r="SJT12" s="778"/>
      <c r="SJU12" s="779"/>
      <c r="SJV12" s="780"/>
      <c r="SJW12" s="781"/>
      <c r="SJX12" s="782"/>
      <c r="SJY12" s="782"/>
      <c r="SJZ12" s="777"/>
      <c r="SKA12" s="778"/>
      <c r="SKB12" s="779"/>
      <c r="SKC12" s="780"/>
      <c r="SKD12" s="781"/>
      <c r="SKE12" s="782"/>
      <c r="SKF12" s="782"/>
      <c r="SKG12" s="777"/>
      <c r="SKH12" s="778"/>
      <c r="SKI12" s="779"/>
      <c r="SKJ12" s="780"/>
      <c r="SKK12" s="781"/>
      <c r="SKL12" s="782"/>
      <c r="SKM12" s="782"/>
      <c r="SKN12" s="777"/>
      <c r="SKO12" s="778"/>
      <c r="SKP12" s="779"/>
      <c r="SKQ12" s="780"/>
      <c r="SKR12" s="781"/>
      <c r="SKS12" s="782"/>
      <c r="SKT12" s="782"/>
      <c r="SKU12" s="777"/>
      <c r="SKV12" s="778"/>
      <c r="SKW12" s="779"/>
      <c r="SKX12" s="780"/>
      <c r="SKY12" s="781"/>
      <c r="SKZ12" s="782"/>
      <c r="SLA12" s="782"/>
      <c r="SLB12" s="777"/>
      <c r="SLC12" s="778"/>
      <c r="SLD12" s="779"/>
      <c r="SLE12" s="780"/>
      <c r="SLF12" s="781"/>
      <c r="SLG12" s="782"/>
      <c r="SLH12" s="782"/>
      <c r="SLI12" s="777"/>
      <c r="SLJ12" s="778"/>
      <c r="SLK12" s="779"/>
      <c r="SLL12" s="780"/>
      <c r="SLM12" s="781"/>
      <c r="SLN12" s="782"/>
      <c r="SLO12" s="782"/>
      <c r="SLP12" s="777"/>
      <c r="SLQ12" s="778"/>
      <c r="SLR12" s="779"/>
      <c r="SLS12" s="780"/>
      <c r="SLT12" s="781"/>
      <c r="SLU12" s="782"/>
      <c r="SLV12" s="782"/>
      <c r="SLW12" s="777"/>
      <c r="SLX12" s="778"/>
      <c r="SLY12" s="779"/>
      <c r="SLZ12" s="780"/>
      <c r="SMA12" s="781"/>
      <c r="SMB12" s="782"/>
      <c r="SMC12" s="782"/>
      <c r="SMD12" s="777"/>
      <c r="SME12" s="778"/>
      <c r="SMF12" s="779"/>
      <c r="SMG12" s="780"/>
      <c r="SMH12" s="781"/>
      <c r="SMI12" s="782"/>
      <c r="SMJ12" s="782"/>
      <c r="SMK12" s="777"/>
      <c r="SML12" s="778"/>
      <c r="SMM12" s="779"/>
      <c r="SMN12" s="780"/>
      <c r="SMO12" s="781"/>
      <c r="SMP12" s="782"/>
      <c r="SMQ12" s="782"/>
      <c r="SMR12" s="777"/>
      <c r="SMS12" s="778"/>
      <c r="SMT12" s="779"/>
      <c r="SMU12" s="780"/>
      <c r="SMV12" s="781"/>
      <c r="SMW12" s="782"/>
      <c r="SMX12" s="782"/>
      <c r="SMY12" s="777"/>
      <c r="SMZ12" s="778"/>
      <c r="SNA12" s="779"/>
      <c r="SNB12" s="780"/>
      <c r="SNC12" s="781"/>
      <c r="SND12" s="782"/>
      <c r="SNE12" s="782"/>
      <c r="SNF12" s="777"/>
      <c r="SNG12" s="778"/>
      <c r="SNH12" s="779"/>
      <c r="SNI12" s="780"/>
      <c r="SNJ12" s="781"/>
      <c r="SNK12" s="782"/>
      <c r="SNL12" s="782"/>
      <c r="SNM12" s="777"/>
      <c r="SNN12" s="778"/>
      <c r="SNO12" s="779"/>
      <c r="SNP12" s="780"/>
      <c r="SNQ12" s="781"/>
      <c r="SNR12" s="782"/>
      <c r="SNS12" s="782"/>
      <c r="SNT12" s="777"/>
      <c r="SNU12" s="778"/>
      <c r="SNV12" s="779"/>
      <c r="SNW12" s="780"/>
      <c r="SNX12" s="781"/>
      <c r="SNY12" s="782"/>
      <c r="SNZ12" s="782"/>
      <c r="SOA12" s="777"/>
      <c r="SOB12" s="778"/>
      <c r="SOC12" s="779"/>
      <c r="SOD12" s="780"/>
      <c r="SOE12" s="781"/>
      <c r="SOF12" s="782"/>
      <c r="SOG12" s="782"/>
      <c r="SOH12" s="777"/>
      <c r="SOI12" s="778"/>
      <c r="SOJ12" s="779"/>
      <c r="SOK12" s="780"/>
      <c r="SOL12" s="781"/>
      <c r="SOM12" s="782"/>
      <c r="SON12" s="782"/>
      <c r="SOO12" s="777"/>
      <c r="SOP12" s="778"/>
      <c r="SOQ12" s="779"/>
      <c r="SOR12" s="780"/>
      <c r="SOS12" s="781"/>
      <c r="SOT12" s="782"/>
      <c r="SOU12" s="782"/>
      <c r="SOV12" s="777"/>
      <c r="SOW12" s="778"/>
      <c r="SOX12" s="779"/>
      <c r="SOY12" s="780"/>
      <c r="SOZ12" s="781"/>
      <c r="SPA12" s="782"/>
      <c r="SPB12" s="782"/>
      <c r="SPC12" s="777"/>
      <c r="SPD12" s="778"/>
      <c r="SPE12" s="779"/>
      <c r="SPF12" s="780"/>
      <c r="SPG12" s="781"/>
      <c r="SPH12" s="782"/>
      <c r="SPI12" s="782"/>
      <c r="SPJ12" s="777"/>
      <c r="SPK12" s="778"/>
      <c r="SPL12" s="779"/>
      <c r="SPM12" s="780"/>
      <c r="SPN12" s="781"/>
      <c r="SPO12" s="782"/>
      <c r="SPP12" s="782"/>
      <c r="SPQ12" s="777"/>
      <c r="SPR12" s="778"/>
      <c r="SPS12" s="779"/>
      <c r="SPT12" s="780"/>
      <c r="SPU12" s="781"/>
      <c r="SPV12" s="782"/>
      <c r="SPW12" s="782"/>
      <c r="SPX12" s="777"/>
      <c r="SPY12" s="778"/>
      <c r="SPZ12" s="779"/>
      <c r="SQA12" s="780"/>
      <c r="SQB12" s="781"/>
      <c r="SQC12" s="782"/>
      <c r="SQD12" s="782"/>
      <c r="SQE12" s="777"/>
      <c r="SQF12" s="778"/>
      <c r="SQG12" s="779"/>
      <c r="SQH12" s="780"/>
      <c r="SQI12" s="781"/>
      <c r="SQJ12" s="782"/>
      <c r="SQK12" s="782"/>
      <c r="SQL12" s="777"/>
      <c r="SQM12" s="778"/>
      <c r="SQN12" s="779"/>
      <c r="SQO12" s="780"/>
      <c r="SQP12" s="781"/>
      <c r="SQQ12" s="782"/>
      <c r="SQR12" s="782"/>
      <c r="SQS12" s="777"/>
      <c r="SQT12" s="778"/>
      <c r="SQU12" s="779"/>
      <c r="SQV12" s="780"/>
      <c r="SQW12" s="781"/>
      <c r="SQX12" s="782"/>
      <c r="SQY12" s="782"/>
      <c r="SQZ12" s="777"/>
      <c r="SRA12" s="778"/>
      <c r="SRB12" s="779"/>
      <c r="SRC12" s="780"/>
      <c r="SRD12" s="781"/>
      <c r="SRE12" s="782"/>
      <c r="SRF12" s="782"/>
      <c r="SRG12" s="777"/>
      <c r="SRH12" s="778"/>
      <c r="SRI12" s="779"/>
      <c r="SRJ12" s="780"/>
      <c r="SRK12" s="781"/>
      <c r="SRL12" s="782"/>
      <c r="SRM12" s="782"/>
      <c r="SRN12" s="777"/>
      <c r="SRO12" s="778"/>
      <c r="SRP12" s="779"/>
      <c r="SRQ12" s="780"/>
      <c r="SRR12" s="781"/>
      <c r="SRS12" s="782"/>
      <c r="SRT12" s="782"/>
      <c r="SRU12" s="777"/>
      <c r="SRV12" s="778"/>
      <c r="SRW12" s="779"/>
      <c r="SRX12" s="780"/>
      <c r="SRY12" s="781"/>
      <c r="SRZ12" s="782"/>
      <c r="SSA12" s="782"/>
      <c r="SSB12" s="777"/>
      <c r="SSC12" s="778"/>
      <c r="SSD12" s="779"/>
      <c r="SSE12" s="780"/>
      <c r="SSF12" s="781"/>
      <c r="SSG12" s="782"/>
      <c r="SSH12" s="782"/>
      <c r="SSI12" s="777"/>
      <c r="SSJ12" s="778"/>
      <c r="SSK12" s="779"/>
      <c r="SSL12" s="780"/>
      <c r="SSM12" s="781"/>
      <c r="SSN12" s="782"/>
      <c r="SSO12" s="782"/>
      <c r="SSP12" s="777"/>
      <c r="SSQ12" s="778"/>
      <c r="SSR12" s="779"/>
      <c r="SSS12" s="780"/>
      <c r="SST12" s="781"/>
      <c r="SSU12" s="782"/>
      <c r="SSV12" s="782"/>
      <c r="SSW12" s="777"/>
      <c r="SSX12" s="778"/>
      <c r="SSY12" s="779"/>
      <c r="SSZ12" s="780"/>
      <c r="STA12" s="781"/>
      <c r="STB12" s="782"/>
      <c r="STC12" s="782"/>
      <c r="STD12" s="777"/>
      <c r="STE12" s="778"/>
      <c r="STF12" s="779"/>
      <c r="STG12" s="780"/>
      <c r="STH12" s="781"/>
      <c r="STI12" s="782"/>
      <c r="STJ12" s="782"/>
      <c r="STK12" s="777"/>
      <c r="STL12" s="778"/>
      <c r="STM12" s="779"/>
      <c r="STN12" s="780"/>
      <c r="STO12" s="781"/>
      <c r="STP12" s="782"/>
      <c r="STQ12" s="782"/>
      <c r="STR12" s="777"/>
      <c r="STS12" s="778"/>
      <c r="STT12" s="779"/>
      <c r="STU12" s="780"/>
      <c r="STV12" s="781"/>
      <c r="STW12" s="782"/>
      <c r="STX12" s="782"/>
      <c r="STY12" s="777"/>
      <c r="STZ12" s="778"/>
      <c r="SUA12" s="779"/>
      <c r="SUB12" s="780"/>
      <c r="SUC12" s="781"/>
      <c r="SUD12" s="782"/>
      <c r="SUE12" s="782"/>
      <c r="SUF12" s="777"/>
      <c r="SUG12" s="778"/>
      <c r="SUH12" s="779"/>
      <c r="SUI12" s="780"/>
      <c r="SUJ12" s="781"/>
      <c r="SUK12" s="782"/>
      <c r="SUL12" s="782"/>
      <c r="SUM12" s="777"/>
      <c r="SUN12" s="778"/>
      <c r="SUO12" s="779"/>
      <c r="SUP12" s="780"/>
      <c r="SUQ12" s="781"/>
      <c r="SUR12" s="782"/>
      <c r="SUS12" s="782"/>
      <c r="SUT12" s="777"/>
      <c r="SUU12" s="778"/>
      <c r="SUV12" s="779"/>
      <c r="SUW12" s="780"/>
      <c r="SUX12" s="781"/>
      <c r="SUY12" s="782"/>
      <c r="SUZ12" s="782"/>
      <c r="SVA12" s="777"/>
      <c r="SVB12" s="778"/>
      <c r="SVC12" s="779"/>
      <c r="SVD12" s="780"/>
      <c r="SVE12" s="781"/>
      <c r="SVF12" s="782"/>
      <c r="SVG12" s="782"/>
      <c r="SVH12" s="777"/>
      <c r="SVI12" s="778"/>
      <c r="SVJ12" s="779"/>
      <c r="SVK12" s="780"/>
      <c r="SVL12" s="781"/>
      <c r="SVM12" s="782"/>
      <c r="SVN12" s="782"/>
      <c r="SVO12" s="777"/>
      <c r="SVP12" s="778"/>
      <c r="SVQ12" s="779"/>
      <c r="SVR12" s="780"/>
      <c r="SVS12" s="781"/>
      <c r="SVT12" s="782"/>
      <c r="SVU12" s="782"/>
      <c r="SVV12" s="777"/>
      <c r="SVW12" s="778"/>
      <c r="SVX12" s="779"/>
      <c r="SVY12" s="780"/>
      <c r="SVZ12" s="781"/>
      <c r="SWA12" s="782"/>
      <c r="SWB12" s="782"/>
      <c r="SWC12" s="777"/>
      <c r="SWD12" s="778"/>
      <c r="SWE12" s="779"/>
      <c r="SWF12" s="780"/>
      <c r="SWG12" s="781"/>
      <c r="SWH12" s="782"/>
      <c r="SWI12" s="782"/>
      <c r="SWJ12" s="777"/>
      <c r="SWK12" s="778"/>
      <c r="SWL12" s="779"/>
      <c r="SWM12" s="780"/>
      <c r="SWN12" s="781"/>
      <c r="SWO12" s="782"/>
      <c r="SWP12" s="782"/>
      <c r="SWQ12" s="777"/>
      <c r="SWR12" s="778"/>
      <c r="SWS12" s="779"/>
      <c r="SWT12" s="780"/>
      <c r="SWU12" s="781"/>
      <c r="SWV12" s="782"/>
      <c r="SWW12" s="782"/>
      <c r="SWX12" s="777"/>
      <c r="SWY12" s="778"/>
      <c r="SWZ12" s="779"/>
      <c r="SXA12" s="780"/>
      <c r="SXB12" s="781"/>
      <c r="SXC12" s="782"/>
      <c r="SXD12" s="782"/>
      <c r="SXE12" s="777"/>
      <c r="SXF12" s="778"/>
      <c r="SXG12" s="779"/>
      <c r="SXH12" s="780"/>
      <c r="SXI12" s="781"/>
      <c r="SXJ12" s="782"/>
      <c r="SXK12" s="782"/>
      <c r="SXL12" s="777"/>
      <c r="SXM12" s="778"/>
      <c r="SXN12" s="779"/>
      <c r="SXO12" s="780"/>
      <c r="SXP12" s="781"/>
      <c r="SXQ12" s="782"/>
      <c r="SXR12" s="782"/>
      <c r="SXS12" s="777"/>
      <c r="SXT12" s="778"/>
      <c r="SXU12" s="779"/>
      <c r="SXV12" s="780"/>
      <c r="SXW12" s="781"/>
      <c r="SXX12" s="782"/>
      <c r="SXY12" s="782"/>
      <c r="SXZ12" s="777"/>
      <c r="SYA12" s="778"/>
      <c r="SYB12" s="779"/>
      <c r="SYC12" s="780"/>
      <c r="SYD12" s="781"/>
      <c r="SYE12" s="782"/>
      <c r="SYF12" s="782"/>
      <c r="SYG12" s="777"/>
      <c r="SYH12" s="778"/>
      <c r="SYI12" s="779"/>
      <c r="SYJ12" s="780"/>
      <c r="SYK12" s="781"/>
      <c r="SYL12" s="782"/>
      <c r="SYM12" s="782"/>
      <c r="SYN12" s="777"/>
      <c r="SYO12" s="778"/>
      <c r="SYP12" s="779"/>
      <c r="SYQ12" s="780"/>
      <c r="SYR12" s="781"/>
      <c r="SYS12" s="782"/>
      <c r="SYT12" s="782"/>
      <c r="SYU12" s="777"/>
      <c r="SYV12" s="778"/>
      <c r="SYW12" s="779"/>
      <c r="SYX12" s="780"/>
      <c r="SYY12" s="781"/>
      <c r="SYZ12" s="782"/>
      <c r="SZA12" s="782"/>
      <c r="SZB12" s="777"/>
      <c r="SZC12" s="778"/>
      <c r="SZD12" s="779"/>
      <c r="SZE12" s="780"/>
      <c r="SZF12" s="781"/>
      <c r="SZG12" s="782"/>
      <c r="SZH12" s="782"/>
      <c r="SZI12" s="777"/>
      <c r="SZJ12" s="778"/>
      <c r="SZK12" s="779"/>
      <c r="SZL12" s="780"/>
      <c r="SZM12" s="781"/>
      <c r="SZN12" s="782"/>
      <c r="SZO12" s="782"/>
      <c r="SZP12" s="777"/>
      <c r="SZQ12" s="778"/>
      <c r="SZR12" s="779"/>
      <c r="SZS12" s="780"/>
      <c r="SZT12" s="781"/>
      <c r="SZU12" s="782"/>
      <c r="SZV12" s="782"/>
      <c r="SZW12" s="777"/>
      <c r="SZX12" s="778"/>
      <c r="SZY12" s="779"/>
      <c r="SZZ12" s="780"/>
      <c r="TAA12" s="781"/>
      <c r="TAB12" s="782"/>
      <c r="TAC12" s="782"/>
      <c r="TAD12" s="777"/>
      <c r="TAE12" s="778"/>
      <c r="TAF12" s="779"/>
      <c r="TAG12" s="780"/>
      <c r="TAH12" s="781"/>
      <c r="TAI12" s="782"/>
      <c r="TAJ12" s="782"/>
      <c r="TAK12" s="777"/>
      <c r="TAL12" s="778"/>
      <c r="TAM12" s="779"/>
      <c r="TAN12" s="780"/>
      <c r="TAO12" s="781"/>
      <c r="TAP12" s="782"/>
      <c r="TAQ12" s="782"/>
      <c r="TAR12" s="777"/>
      <c r="TAS12" s="778"/>
      <c r="TAT12" s="779"/>
      <c r="TAU12" s="780"/>
      <c r="TAV12" s="781"/>
      <c r="TAW12" s="782"/>
      <c r="TAX12" s="782"/>
      <c r="TAY12" s="777"/>
      <c r="TAZ12" s="778"/>
      <c r="TBA12" s="779"/>
      <c r="TBB12" s="780"/>
      <c r="TBC12" s="781"/>
      <c r="TBD12" s="782"/>
      <c r="TBE12" s="782"/>
      <c r="TBF12" s="777"/>
      <c r="TBG12" s="778"/>
      <c r="TBH12" s="779"/>
      <c r="TBI12" s="780"/>
      <c r="TBJ12" s="781"/>
      <c r="TBK12" s="782"/>
      <c r="TBL12" s="782"/>
      <c r="TBM12" s="777"/>
      <c r="TBN12" s="778"/>
      <c r="TBO12" s="779"/>
      <c r="TBP12" s="780"/>
      <c r="TBQ12" s="781"/>
      <c r="TBR12" s="782"/>
      <c r="TBS12" s="782"/>
      <c r="TBT12" s="777"/>
      <c r="TBU12" s="778"/>
      <c r="TBV12" s="779"/>
      <c r="TBW12" s="780"/>
      <c r="TBX12" s="781"/>
      <c r="TBY12" s="782"/>
      <c r="TBZ12" s="782"/>
      <c r="TCA12" s="777"/>
      <c r="TCB12" s="778"/>
      <c r="TCC12" s="779"/>
      <c r="TCD12" s="780"/>
      <c r="TCE12" s="781"/>
      <c r="TCF12" s="782"/>
      <c r="TCG12" s="782"/>
      <c r="TCH12" s="777"/>
      <c r="TCI12" s="778"/>
      <c r="TCJ12" s="779"/>
      <c r="TCK12" s="780"/>
      <c r="TCL12" s="781"/>
      <c r="TCM12" s="782"/>
      <c r="TCN12" s="782"/>
      <c r="TCO12" s="777"/>
      <c r="TCP12" s="778"/>
      <c r="TCQ12" s="779"/>
      <c r="TCR12" s="780"/>
      <c r="TCS12" s="781"/>
      <c r="TCT12" s="782"/>
      <c r="TCU12" s="782"/>
      <c r="TCV12" s="777"/>
      <c r="TCW12" s="778"/>
      <c r="TCX12" s="779"/>
      <c r="TCY12" s="780"/>
      <c r="TCZ12" s="781"/>
      <c r="TDA12" s="782"/>
      <c r="TDB12" s="782"/>
      <c r="TDC12" s="777"/>
      <c r="TDD12" s="778"/>
      <c r="TDE12" s="779"/>
      <c r="TDF12" s="780"/>
      <c r="TDG12" s="781"/>
      <c r="TDH12" s="782"/>
      <c r="TDI12" s="782"/>
      <c r="TDJ12" s="777"/>
      <c r="TDK12" s="778"/>
      <c r="TDL12" s="779"/>
      <c r="TDM12" s="780"/>
      <c r="TDN12" s="781"/>
      <c r="TDO12" s="782"/>
      <c r="TDP12" s="782"/>
      <c r="TDQ12" s="777"/>
      <c r="TDR12" s="778"/>
      <c r="TDS12" s="779"/>
      <c r="TDT12" s="780"/>
      <c r="TDU12" s="781"/>
      <c r="TDV12" s="782"/>
      <c r="TDW12" s="782"/>
      <c r="TDX12" s="777"/>
      <c r="TDY12" s="778"/>
      <c r="TDZ12" s="779"/>
      <c r="TEA12" s="780"/>
      <c r="TEB12" s="781"/>
      <c r="TEC12" s="782"/>
      <c r="TED12" s="782"/>
      <c r="TEE12" s="777"/>
      <c r="TEF12" s="778"/>
      <c r="TEG12" s="779"/>
      <c r="TEH12" s="780"/>
      <c r="TEI12" s="781"/>
      <c r="TEJ12" s="782"/>
      <c r="TEK12" s="782"/>
      <c r="TEL12" s="777"/>
      <c r="TEM12" s="778"/>
      <c r="TEN12" s="779"/>
      <c r="TEO12" s="780"/>
      <c r="TEP12" s="781"/>
      <c r="TEQ12" s="782"/>
      <c r="TER12" s="782"/>
      <c r="TES12" s="777"/>
      <c r="TET12" s="778"/>
      <c r="TEU12" s="779"/>
      <c r="TEV12" s="780"/>
      <c r="TEW12" s="781"/>
      <c r="TEX12" s="782"/>
      <c r="TEY12" s="782"/>
      <c r="TEZ12" s="777"/>
      <c r="TFA12" s="778"/>
      <c r="TFB12" s="779"/>
      <c r="TFC12" s="780"/>
      <c r="TFD12" s="781"/>
      <c r="TFE12" s="782"/>
      <c r="TFF12" s="782"/>
      <c r="TFG12" s="777"/>
      <c r="TFH12" s="778"/>
      <c r="TFI12" s="779"/>
      <c r="TFJ12" s="780"/>
      <c r="TFK12" s="781"/>
      <c r="TFL12" s="782"/>
      <c r="TFM12" s="782"/>
      <c r="TFN12" s="777"/>
      <c r="TFO12" s="778"/>
      <c r="TFP12" s="779"/>
      <c r="TFQ12" s="780"/>
      <c r="TFR12" s="781"/>
      <c r="TFS12" s="782"/>
      <c r="TFT12" s="782"/>
      <c r="TFU12" s="777"/>
      <c r="TFV12" s="778"/>
      <c r="TFW12" s="779"/>
      <c r="TFX12" s="780"/>
      <c r="TFY12" s="781"/>
      <c r="TFZ12" s="782"/>
      <c r="TGA12" s="782"/>
      <c r="TGB12" s="777"/>
      <c r="TGC12" s="778"/>
      <c r="TGD12" s="779"/>
      <c r="TGE12" s="780"/>
      <c r="TGF12" s="781"/>
      <c r="TGG12" s="782"/>
      <c r="TGH12" s="782"/>
      <c r="TGI12" s="777"/>
      <c r="TGJ12" s="778"/>
      <c r="TGK12" s="779"/>
      <c r="TGL12" s="780"/>
      <c r="TGM12" s="781"/>
      <c r="TGN12" s="782"/>
      <c r="TGO12" s="782"/>
      <c r="TGP12" s="777"/>
      <c r="TGQ12" s="778"/>
      <c r="TGR12" s="779"/>
      <c r="TGS12" s="780"/>
      <c r="TGT12" s="781"/>
      <c r="TGU12" s="782"/>
      <c r="TGV12" s="782"/>
      <c r="TGW12" s="777"/>
      <c r="TGX12" s="778"/>
      <c r="TGY12" s="779"/>
      <c r="TGZ12" s="780"/>
      <c r="THA12" s="781"/>
      <c r="THB12" s="782"/>
      <c r="THC12" s="782"/>
      <c r="THD12" s="777"/>
      <c r="THE12" s="778"/>
      <c r="THF12" s="779"/>
      <c r="THG12" s="780"/>
      <c r="THH12" s="781"/>
      <c r="THI12" s="782"/>
      <c r="THJ12" s="782"/>
      <c r="THK12" s="777"/>
      <c r="THL12" s="778"/>
      <c r="THM12" s="779"/>
      <c r="THN12" s="780"/>
      <c r="THO12" s="781"/>
      <c r="THP12" s="782"/>
      <c r="THQ12" s="782"/>
      <c r="THR12" s="777"/>
      <c r="THS12" s="778"/>
      <c r="THT12" s="779"/>
      <c r="THU12" s="780"/>
      <c r="THV12" s="781"/>
      <c r="THW12" s="782"/>
      <c r="THX12" s="782"/>
      <c r="THY12" s="777"/>
      <c r="THZ12" s="778"/>
      <c r="TIA12" s="779"/>
      <c r="TIB12" s="780"/>
      <c r="TIC12" s="781"/>
      <c r="TID12" s="782"/>
      <c r="TIE12" s="782"/>
      <c r="TIF12" s="777"/>
      <c r="TIG12" s="778"/>
      <c r="TIH12" s="779"/>
      <c r="TII12" s="780"/>
      <c r="TIJ12" s="781"/>
      <c r="TIK12" s="782"/>
      <c r="TIL12" s="782"/>
      <c r="TIM12" s="777"/>
      <c r="TIN12" s="778"/>
      <c r="TIO12" s="779"/>
      <c r="TIP12" s="780"/>
      <c r="TIQ12" s="781"/>
      <c r="TIR12" s="782"/>
      <c r="TIS12" s="782"/>
      <c r="TIT12" s="777"/>
      <c r="TIU12" s="778"/>
      <c r="TIV12" s="779"/>
      <c r="TIW12" s="780"/>
      <c r="TIX12" s="781"/>
      <c r="TIY12" s="782"/>
      <c r="TIZ12" s="782"/>
      <c r="TJA12" s="777"/>
      <c r="TJB12" s="778"/>
      <c r="TJC12" s="779"/>
      <c r="TJD12" s="780"/>
      <c r="TJE12" s="781"/>
      <c r="TJF12" s="782"/>
      <c r="TJG12" s="782"/>
      <c r="TJH12" s="777"/>
      <c r="TJI12" s="778"/>
      <c r="TJJ12" s="779"/>
      <c r="TJK12" s="780"/>
      <c r="TJL12" s="781"/>
      <c r="TJM12" s="782"/>
      <c r="TJN12" s="782"/>
      <c r="TJO12" s="777"/>
      <c r="TJP12" s="778"/>
      <c r="TJQ12" s="779"/>
      <c r="TJR12" s="780"/>
      <c r="TJS12" s="781"/>
      <c r="TJT12" s="782"/>
      <c r="TJU12" s="782"/>
      <c r="TJV12" s="777"/>
      <c r="TJW12" s="778"/>
      <c r="TJX12" s="779"/>
      <c r="TJY12" s="780"/>
      <c r="TJZ12" s="781"/>
      <c r="TKA12" s="782"/>
      <c r="TKB12" s="782"/>
      <c r="TKC12" s="777"/>
      <c r="TKD12" s="778"/>
      <c r="TKE12" s="779"/>
      <c r="TKF12" s="780"/>
      <c r="TKG12" s="781"/>
      <c r="TKH12" s="782"/>
      <c r="TKI12" s="782"/>
      <c r="TKJ12" s="777"/>
      <c r="TKK12" s="778"/>
      <c r="TKL12" s="779"/>
      <c r="TKM12" s="780"/>
      <c r="TKN12" s="781"/>
      <c r="TKO12" s="782"/>
      <c r="TKP12" s="782"/>
      <c r="TKQ12" s="777"/>
      <c r="TKR12" s="778"/>
      <c r="TKS12" s="779"/>
      <c r="TKT12" s="780"/>
      <c r="TKU12" s="781"/>
      <c r="TKV12" s="782"/>
      <c r="TKW12" s="782"/>
      <c r="TKX12" s="777"/>
      <c r="TKY12" s="778"/>
      <c r="TKZ12" s="779"/>
      <c r="TLA12" s="780"/>
      <c r="TLB12" s="781"/>
      <c r="TLC12" s="782"/>
      <c r="TLD12" s="782"/>
      <c r="TLE12" s="777"/>
      <c r="TLF12" s="778"/>
      <c r="TLG12" s="779"/>
      <c r="TLH12" s="780"/>
      <c r="TLI12" s="781"/>
      <c r="TLJ12" s="782"/>
      <c r="TLK12" s="782"/>
      <c r="TLL12" s="777"/>
      <c r="TLM12" s="778"/>
      <c r="TLN12" s="779"/>
      <c r="TLO12" s="780"/>
      <c r="TLP12" s="781"/>
      <c r="TLQ12" s="782"/>
      <c r="TLR12" s="782"/>
      <c r="TLS12" s="777"/>
      <c r="TLT12" s="778"/>
      <c r="TLU12" s="779"/>
      <c r="TLV12" s="780"/>
      <c r="TLW12" s="781"/>
      <c r="TLX12" s="782"/>
      <c r="TLY12" s="782"/>
      <c r="TLZ12" s="777"/>
      <c r="TMA12" s="778"/>
      <c r="TMB12" s="779"/>
      <c r="TMC12" s="780"/>
      <c r="TMD12" s="781"/>
      <c r="TME12" s="782"/>
      <c r="TMF12" s="782"/>
      <c r="TMG12" s="777"/>
      <c r="TMH12" s="778"/>
      <c r="TMI12" s="779"/>
      <c r="TMJ12" s="780"/>
      <c r="TMK12" s="781"/>
      <c r="TML12" s="782"/>
      <c r="TMM12" s="782"/>
      <c r="TMN12" s="777"/>
      <c r="TMO12" s="778"/>
      <c r="TMP12" s="779"/>
      <c r="TMQ12" s="780"/>
      <c r="TMR12" s="781"/>
      <c r="TMS12" s="782"/>
      <c r="TMT12" s="782"/>
      <c r="TMU12" s="777"/>
      <c r="TMV12" s="778"/>
      <c r="TMW12" s="779"/>
      <c r="TMX12" s="780"/>
      <c r="TMY12" s="781"/>
      <c r="TMZ12" s="782"/>
      <c r="TNA12" s="782"/>
      <c r="TNB12" s="777"/>
      <c r="TNC12" s="778"/>
      <c r="TND12" s="779"/>
      <c r="TNE12" s="780"/>
      <c r="TNF12" s="781"/>
      <c r="TNG12" s="782"/>
      <c r="TNH12" s="782"/>
      <c r="TNI12" s="777"/>
      <c r="TNJ12" s="778"/>
      <c r="TNK12" s="779"/>
      <c r="TNL12" s="780"/>
      <c r="TNM12" s="781"/>
      <c r="TNN12" s="782"/>
      <c r="TNO12" s="782"/>
      <c r="TNP12" s="777"/>
      <c r="TNQ12" s="778"/>
      <c r="TNR12" s="779"/>
      <c r="TNS12" s="780"/>
      <c r="TNT12" s="781"/>
      <c r="TNU12" s="782"/>
      <c r="TNV12" s="782"/>
      <c r="TNW12" s="777"/>
      <c r="TNX12" s="778"/>
      <c r="TNY12" s="779"/>
      <c r="TNZ12" s="780"/>
      <c r="TOA12" s="781"/>
      <c r="TOB12" s="782"/>
      <c r="TOC12" s="782"/>
      <c r="TOD12" s="777"/>
      <c r="TOE12" s="778"/>
      <c r="TOF12" s="779"/>
      <c r="TOG12" s="780"/>
      <c r="TOH12" s="781"/>
      <c r="TOI12" s="782"/>
      <c r="TOJ12" s="782"/>
      <c r="TOK12" s="777"/>
      <c r="TOL12" s="778"/>
      <c r="TOM12" s="779"/>
      <c r="TON12" s="780"/>
      <c r="TOO12" s="781"/>
      <c r="TOP12" s="782"/>
      <c r="TOQ12" s="782"/>
      <c r="TOR12" s="777"/>
      <c r="TOS12" s="778"/>
      <c r="TOT12" s="779"/>
      <c r="TOU12" s="780"/>
      <c r="TOV12" s="781"/>
      <c r="TOW12" s="782"/>
      <c r="TOX12" s="782"/>
      <c r="TOY12" s="777"/>
      <c r="TOZ12" s="778"/>
      <c r="TPA12" s="779"/>
      <c r="TPB12" s="780"/>
      <c r="TPC12" s="781"/>
      <c r="TPD12" s="782"/>
      <c r="TPE12" s="782"/>
      <c r="TPF12" s="777"/>
      <c r="TPG12" s="778"/>
      <c r="TPH12" s="779"/>
      <c r="TPI12" s="780"/>
      <c r="TPJ12" s="781"/>
      <c r="TPK12" s="782"/>
      <c r="TPL12" s="782"/>
      <c r="TPM12" s="777"/>
      <c r="TPN12" s="778"/>
      <c r="TPO12" s="779"/>
      <c r="TPP12" s="780"/>
      <c r="TPQ12" s="781"/>
      <c r="TPR12" s="782"/>
      <c r="TPS12" s="782"/>
      <c r="TPT12" s="777"/>
      <c r="TPU12" s="778"/>
      <c r="TPV12" s="779"/>
      <c r="TPW12" s="780"/>
      <c r="TPX12" s="781"/>
      <c r="TPY12" s="782"/>
      <c r="TPZ12" s="782"/>
      <c r="TQA12" s="777"/>
      <c r="TQB12" s="778"/>
      <c r="TQC12" s="779"/>
      <c r="TQD12" s="780"/>
      <c r="TQE12" s="781"/>
      <c r="TQF12" s="782"/>
      <c r="TQG12" s="782"/>
      <c r="TQH12" s="777"/>
      <c r="TQI12" s="778"/>
      <c r="TQJ12" s="779"/>
      <c r="TQK12" s="780"/>
      <c r="TQL12" s="781"/>
      <c r="TQM12" s="782"/>
      <c r="TQN12" s="782"/>
      <c r="TQO12" s="777"/>
      <c r="TQP12" s="778"/>
      <c r="TQQ12" s="779"/>
      <c r="TQR12" s="780"/>
      <c r="TQS12" s="781"/>
      <c r="TQT12" s="782"/>
      <c r="TQU12" s="782"/>
      <c r="TQV12" s="777"/>
      <c r="TQW12" s="778"/>
      <c r="TQX12" s="779"/>
      <c r="TQY12" s="780"/>
      <c r="TQZ12" s="781"/>
      <c r="TRA12" s="782"/>
      <c r="TRB12" s="782"/>
      <c r="TRC12" s="777"/>
      <c r="TRD12" s="778"/>
      <c r="TRE12" s="779"/>
      <c r="TRF12" s="780"/>
      <c r="TRG12" s="781"/>
      <c r="TRH12" s="782"/>
      <c r="TRI12" s="782"/>
      <c r="TRJ12" s="777"/>
      <c r="TRK12" s="778"/>
      <c r="TRL12" s="779"/>
      <c r="TRM12" s="780"/>
      <c r="TRN12" s="781"/>
      <c r="TRO12" s="782"/>
      <c r="TRP12" s="782"/>
      <c r="TRQ12" s="777"/>
      <c r="TRR12" s="778"/>
      <c r="TRS12" s="779"/>
      <c r="TRT12" s="780"/>
      <c r="TRU12" s="781"/>
      <c r="TRV12" s="782"/>
      <c r="TRW12" s="782"/>
      <c r="TRX12" s="777"/>
      <c r="TRY12" s="778"/>
      <c r="TRZ12" s="779"/>
      <c r="TSA12" s="780"/>
      <c r="TSB12" s="781"/>
      <c r="TSC12" s="782"/>
      <c r="TSD12" s="782"/>
      <c r="TSE12" s="777"/>
      <c r="TSF12" s="778"/>
      <c r="TSG12" s="779"/>
      <c r="TSH12" s="780"/>
      <c r="TSI12" s="781"/>
      <c r="TSJ12" s="782"/>
      <c r="TSK12" s="782"/>
      <c r="TSL12" s="777"/>
      <c r="TSM12" s="778"/>
      <c r="TSN12" s="779"/>
      <c r="TSO12" s="780"/>
      <c r="TSP12" s="781"/>
      <c r="TSQ12" s="782"/>
      <c r="TSR12" s="782"/>
      <c r="TSS12" s="777"/>
      <c r="TST12" s="778"/>
      <c r="TSU12" s="779"/>
      <c r="TSV12" s="780"/>
      <c r="TSW12" s="781"/>
      <c r="TSX12" s="782"/>
      <c r="TSY12" s="782"/>
      <c r="TSZ12" s="777"/>
      <c r="TTA12" s="778"/>
      <c r="TTB12" s="779"/>
      <c r="TTC12" s="780"/>
      <c r="TTD12" s="781"/>
      <c r="TTE12" s="782"/>
      <c r="TTF12" s="782"/>
      <c r="TTG12" s="777"/>
      <c r="TTH12" s="778"/>
      <c r="TTI12" s="779"/>
      <c r="TTJ12" s="780"/>
      <c r="TTK12" s="781"/>
      <c r="TTL12" s="782"/>
      <c r="TTM12" s="782"/>
      <c r="TTN12" s="777"/>
      <c r="TTO12" s="778"/>
      <c r="TTP12" s="779"/>
      <c r="TTQ12" s="780"/>
      <c r="TTR12" s="781"/>
      <c r="TTS12" s="782"/>
      <c r="TTT12" s="782"/>
      <c r="TTU12" s="777"/>
      <c r="TTV12" s="778"/>
      <c r="TTW12" s="779"/>
      <c r="TTX12" s="780"/>
      <c r="TTY12" s="781"/>
      <c r="TTZ12" s="782"/>
      <c r="TUA12" s="782"/>
      <c r="TUB12" s="777"/>
      <c r="TUC12" s="778"/>
      <c r="TUD12" s="779"/>
      <c r="TUE12" s="780"/>
      <c r="TUF12" s="781"/>
      <c r="TUG12" s="782"/>
      <c r="TUH12" s="782"/>
      <c r="TUI12" s="777"/>
      <c r="TUJ12" s="778"/>
      <c r="TUK12" s="779"/>
      <c r="TUL12" s="780"/>
      <c r="TUM12" s="781"/>
      <c r="TUN12" s="782"/>
      <c r="TUO12" s="782"/>
      <c r="TUP12" s="777"/>
      <c r="TUQ12" s="778"/>
      <c r="TUR12" s="779"/>
      <c r="TUS12" s="780"/>
      <c r="TUT12" s="781"/>
      <c r="TUU12" s="782"/>
      <c r="TUV12" s="782"/>
      <c r="TUW12" s="777"/>
      <c r="TUX12" s="778"/>
      <c r="TUY12" s="779"/>
      <c r="TUZ12" s="780"/>
      <c r="TVA12" s="781"/>
      <c r="TVB12" s="782"/>
      <c r="TVC12" s="782"/>
      <c r="TVD12" s="777"/>
      <c r="TVE12" s="778"/>
      <c r="TVF12" s="779"/>
      <c r="TVG12" s="780"/>
      <c r="TVH12" s="781"/>
      <c r="TVI12" s="782"/>
      <c r="TVJ12" s="782"/>
      <c r="TVK12" s="777"/>
      <c r="TVL12" s="778"/>
      <c r="TVM12" s="779"/>
      <c r="TVN12" s="780"/>
      <c r="TVO12" s="781"/>
      <c r="TVP12" s="782"/>
      <c r="TVQ12" s="782"/>
      <c r="TVR12" s="777"/>
      <c r="TVS12" s="778"/>
      <c r="TVT12" s="779"/>
      <c r="TVU12" s="780"/>
      <c r="TVV12" s="781"/>
      <c r="TVW12" s="782"/>
      <c r="TVX12" s="782"/>
      <c r="TVY12" s="777"/>
      <c r="TVZ12" s="778"/>
      <c r="TWA12" s="779"/>
      <c r="TWB12" s="780"/>
      <c r="TWC12" s="781"/>
      <c r="TWD12" s="782"/>
      <c r="TWE12" s="782"/>
      <c r="TWF12" s="777"/>
      <c r="TWG12" s="778"/>
      <c r="TWH12" s="779"/>
      <c r="TWI12" s="780"/>
      <c r="TWJ12" s="781"/>
      <c r="TWK12" s="782"/>
      <c r="TWL12" s="782"/>
      <c r="TWM12" s="777"/>
      <c r="TWN12" s="778"/>
      <c r="TWO12" s="779"/>
      <c r="TWP12" s="780"/>
      <c r="TWQ12" s="781"/>
      <c r="TWR12" s="782"/>
      <c r="TWS12" s="782"/>
      <c r="TWT12" s="777"/>
      <c r="TWU12" s="778"/>
      <c r="TWV12" s="779"/>
      <c r="TWW12" s="780"/>
      <c r="TWX12" s="781"/>
      <c r="TWY12" s="782"/>
      <c r="TWZ12" s="782"/>
      <c r="TXA12" s="777"/>
      <c r="TXB12" s="778"/>
      <c r="TXC12" s="779"/>
      <c r="TXD12" s="780"/>
      <c r="TXE12" s="781"/>
      <c r="TXF12" s="782"/>
      <c r="TXG12" s="782"/>
      <c r="TXH12" s="777"/>
      <c r="TXI12" s="778"/>
      <c r="TXJ12" s="779"/>
      <c r="TXK12" s="780"/>
      <c r="TXL12" s="781"/>
      <c r="TXM12" s="782"/>
      <c r="TXN12" s="782"/>
      <c r="TXO12" s="777"/>
      <c r="TXP12" s="778"/>
      <c r="TXQ12" s="779"/>
      <c r="TXR12" s="780"/>
      <c r="TXS12" s="781"/>
      <c r="TXT12" s="782"/>
      <c r="TXU12" s="782"/>
      <c r="TXV12" s="777"/>
      <c r="TXW12" s="778"/>
      <c r="TXX12" s="779"/>
      <c r="TXY12" s="780"/>
      <c r="TXZ12" s="781"/>
      <c r="TYA12" s="782"/>
      <c r="TYB12" s="782"/>
      <c r="TYC12" s="777"/>
      <c r="TYD12" s="778"/>
      <c r="TYE12" s="779"/>
      <c r="TYF12" s="780"/>
      <c r="TYG12" s="781"/>
      <c r="TYH12" s="782"/>
      <c r="TYI12" s="782"/>
      <c r="TYJ12" s="777"/>
      <c r="TYK12" s="778"/>
      <c r="TYL12" s="779"/>
      <c r="TYM12" s="780"/>
      <c r="TYN12" s="781"/>
      <c r="TYO12" s="782"/>
      <c r="TYP12" s="782"/>
      <c r="TYQ12" s="777"/>
      <c r="TYR12" s="778"/>
      <c r="TYS12" s="779"/>
      <c r="TYT12" s="780"/>
      <c r="TYU12" s="781"/>
      <c r="TYV12" s="782"/>
      <c r="TYW12" s="782"/>
      <c r="TYX12" s="777"/>
      <c r="TYY12" s="778"/>
      <c r="TYZ12" s="779"/>
      <c r="TZA12" s="780"/>
      <c r="TZB12" s="781"/>
      <c r="TZC12" s="782"/>
      <c r="TZD12" s="782"/>
      <c r="TZE12" s="777"/>
      <c r="TZF12" s="778"/>
      <c r="TZG12" s="779"/>
      <c r="TZH12" s="780"/>
      <c r="TZI12" s="781"/>
      <c r="TZJ12" s="782"/>
      <c r="TZK12" s="782"/>
      <c r="TZL12" s="777"/>
      <c r="TZM12" s="778"/>
      <c r="TZN12" s="779"/>
      <c r="TZO12" s="780"/>
      <c r="TZP12" s="781"/>
      <c r="TZQ12" s="782"/>
      <c r="TZR12" s="782"/>
      <c r="TZS12" s="777"/>
      <c r="TZT12" s="778"/>
      <c r="TZU12" s="779"/>
      <c r="TZV12" s="780"/>
      <c r="TZW12" s="781"/>
      <c r="TZX12" s="782"/>
      <c r="TZY12" s="782"/>
      <c r="TZZ12" s="777"/>
      <c r="UAA12" s="778"/>
      <c r="UAB12" s="779"/>
      <c r="UAC12" s="780"/>
      <c r="UAD12" s="781"/>
      <c r="UAE12" s="782"/>
      <c r="UAF12" s="782"/>
      <c r="UAG12" s="777"/>
      <c r="UAH12" s="778"/>
      <c r="UAI12" s="779"/>
      <c r="UAJ12" s="780"/>
      <c r="UAK12" s="781"/>
      <c r="UAL12" s="782"/>
      <c r="UAM12" s="782"/>
      <c r="UAN12" s="777"/>
      <c r="UAO12" s="778"/>
      <c r="UAP12" s="779"/>
      <c r="UAQ12" s="780"/>
      <c r="UAR12" s="781"/>
      <c r="UAS12" s="782"/>
      <c r="UAT12" s="782"/>
      <c r="UAU12" s="777"/>
      <c r="UAV12" s="778"/>
      <c r="UAW12" s="779"/>
      <c r="UAX12" s="780"/>
      <c r="UAY12" s="781"/>
      <c r="UAZ12" s="782"/>
      <c r="UBA12" s="782"/>
      <c r="UBB12" s="777"/>
      <c r="UBC12" s="778"/>
      <c r="UBD12" s="779"/>
      <c r="UBE12" s="780"/>
      <c r="UBF12" s="781"/>
      <c r="UBG12" s="782"/>
      <c r="UBH12" s="782"/>
      <c r="UBI12" s="777"/>
      <c r="UBJ12" s="778"/>
      <c r="UBK12" s="779"/>
      <c r="UBL12" s="780"/>
      <c r="UBM12" s="781"/>
      <c r="UBN12" s="782"/>
      <c r="UBO12" s="782"/>
      <c r="UBP12" s="777"/>
      <c r="UBQ12" s="778"/>
      <c r="UBR12" s="779"/>
      <c r="UBS12" s="780"/>
      <c r="UBT12" s="781"/>
      <c r="UBU12" s="782"/>
      <c r="UBV12" s="782"/>
      <c r="UBW12" s="777"/>
      <c r="UBX12" s="778"/>
      <c r="UBY12" s="779"/>
      <c r="UBZ12" s="780"/>
      <c r="UCA12" s="781"/>
      <c r="UCB12" s="782"/>
      <c r="UCC12" s="782"/>
      <c r="UCD12" s="777"/>
      <c r="UCE12" s="778"/>
      <c r="UCF12" s="779"/>
      <c r="UCG12" s="780"/>
      <c r="UCH12" s="781"/>
      <c r="UCI12" s="782"/>
      <c r="UCJ12" s="782"/>
      <c r="UCK12" s="777"/>
      <c r="UCL12" s="778"/>
      <c r="UCM12" s="779"/>
      <c r="UCN12" s="780"/>
      <c r="UCO12" s="781"/>
      <c r="UCP12" s="782"/>
      <c r="UCQ12" s="782"/>
      <c r="UCR12" s="777"/>
      <c r="UCS12" s="778"/>
      <c r="UCT12" s="779"/>
      <c r="UCU12" s="780"/>
      <c r="UCV12" s="781"/>
      <c r="UCW12" s="782"/>
      <c r="UCX12" s="782"/>
      <c r="UCY12" s="777"/>
      <c r="UCZ12" s="778"/>
      <c r="UDA12" s="779"/>
      <c r="UDB12" s="780"/>
      <c r="UDC12" s="781"/>
      <c r="UDD12" s="782"/>
      <c r="UDE12" s="782"/>
      <c r="UDF12" s="777"/>
      <c r="UDG12" s="778"/>
      <c r="UDH12" s="779"/>
      <c r="UDI12" s="780"/>
      <c r="UDJ12" s="781"/>
      <c r="UDK12" s="782"/>
      <c r="UDL12" s="782"/>
      <c r="UDM12" s="777"/>
      <c r="UDN12" s="778"/>
      <c r="UDO12" s="779"/>
      <c r="UDP12" s="780"/>
      <c r="UDQ12" s="781"/>
      <c r="UDR12" s="782"/>
      <c r="UDS12" s="782"/>
      <c r="UDT12" s="777"/>
      <c r="UDU12" s="778"/>
      <c r="UDV12" s="779"/>
      <c r="UDW12" s="780"/>
      <c r="UDX12" s="781"/>
      <c r="UDY12" s="782"/>
      <c r="UDZ12" s="782"/>
      <c r="UEA12" s="777"/>
      <c r="UEB12" s="778"/>
      <c r="UEC12" s="779"/>
      <c r="UED12" s="780"/>
      <c r="UEE12" s="781"/>
      <c r="UEF12" s="782"/>
      <c r="UEG12" s="782"/>
      <c r="UEH12" s="777"/>
      <c r="UEI12" s="778"/>
      <c r="UEJ12" s="779"/>
      <c r="UEK12" s="780"/>
      <c r="UEL12" s="781"/>
      <c r="UEM12" s="782"/>
      <c r="UEN12" s="782"/>
      <c r="UEO12" s="777"/>
      <c r="UEP12" s="778"/>
      <c r="UEQ12" s="779"/>
      <c r="UER12" s="780"/>
      <c r="UES12" s="781"/>
      <c r="UET12" s="782"/>
      <c r="UEU12" s="782"/>
      <c r="UEV12" s="777"/>
      <c r="UEW12" s="778"/>
      <c r="UEX12" s="779"/>
      <c r="UEY12" s="780"/>
      <c r="UEZ12" s="781"/>
      <c r="UFA12" s="782"/>
      <c r="UFB12" s="782"/>
      <c r="UFC12" s="777"/>
      <c r="UFD12" s="778"/>
      <c r="UFE12" s="779"/>
      <c r="UFF12" s="780"/>
      <c r="UFG12" s="781"/>
      <c r="UFH12" s="782"/>
      <c r="UFI12" s="782"/>
      <c r="UFJ12" s="777"/>
      <c r="UFK12" s="778"/>
      <c r="UFL12" s="779"/>
      <c r="UFM12" s="780"/>
      <c r="UFN12" s="781"/>
      <c r="UFO12" s="782"/>
      <c r="UFP12" s="782"/>
      <c r="UFQ12" s="777"/>
      <c r="UFR12" s="778"/>
      <c r="UFS12" s="779"/>
      <c r="UFT12" s="780"/>
      <c r="UFU12" s="781"/>
      <c r="UFV12" s="782"/>
      <c r="UFW12" s="782"/>
      <c r="UFX12" s="777"/>
      <c r="UFY12" s="778"/>
      <c r="UFZ12" s="779"/>
      <c r="UGA12" s="780"/>
      <c r="UGB12" s="781"/>
      <c r="UGC12" s="782"/>
      <c r="UGD12" s="782"/>
      <c r="UGE12" s="777"/>
      <c r="UGF12" s="778"/>
      <c r="UGG12" s="779"/>
      <c r="UGH12" s="780"/>
      <c r="UGI12" s="781"/>
      <c r="UGJ12" s="782"/>
      <c r="UGK12" s="782"/>
      <c r="UGL12" s="777"/>
      <c r="UGM12" s="778"/>
      <c r="UGN12" s="779"/>
      <c r="UGO12" s="780"/>
      <c r="UGP12" s="781"/>
      <c r="UGQ12" s="782"/>
      <c r="UGR12" s="782"/>
      <c r="UGS12" s="777"/>
      <c r="UGT12" s="778"/>
      <c r="UGU12" s="779"/>
      <c r="UGV12" s="780"/>
      <c r="UGW12" s="781"/>
      <c r="UGX12" s="782"/>
      <c r="UGY12" s="782"/>
      <c r="UGZ12" s="777"/>
      <c r="UHA12" s="778"/>
      <c r="UHB12" s="779"/>
      <c r="UHC12" s="780"/>
      <c r="UHD12" s="781"/>
      <c r="UHE12" s="782"/>
      <c r="UHF12" s="782"/>
      <c r="UHG12" s="777"/>
      <c r="UHH12" s="778"/>
      <c r="UHI12" s="779"/>
      <c r="UHJ12" s="780"/>
      <c r="UHK12" s="781"/>
      <c r="UHL12" s="782"/>
      <c r="UHM12" s="782"/>
      <c r="UHN12" s="777"/>
      <c r="UHO12" s="778"/>
      <c r="UHP12" s="779"/>
      <c r="UHQ12" s="780"/>
      <c r="UHR12" s="781"/>
      <c r="UHS12" s="782"/>
      <c r="UHT12" s="782"/>
      <c r="UHU12" s="777"/>
      <c r="UHV12" s="778"/>
      <c r="UHW12" s="779"/>
      <c r="UHX12" s="780"/>
      <c r="UHY12" s="781"/>
      <c r="UHZ12" s="782"/>
      <c r="UIA12" s="782"/>
      <c r="UIB12" s="777"/>
      <c r="UIC12" s="778"/>
      <c r="UID12" s="779"/>
      <c r="UIE12" s="780"/>
      <c r="UIF12" s="781"/>
      <c r="UIG12" s="782"/>
      <c r="UIH12" s="782"/>
      <c r="UII12" s="777"/>
      <c r="UIJ12" s="778"/>
      <c r="UIK12" s="779"/>
      <c r="UIL12" s="780"/>
      <c r="UIM12" s="781"/>
      <c r="UIN12" s="782"/>
      <c r="UIO12" s="782"/>
      <c r="UIP12" s="777"/>
      <c r="UIQ12" s="778"/>
      <c r="UIR12" s="779"/>
      <c r="UIS12" s="780"/>
      <c r="UIT12" s="781"/>
      <c r="UIU12" s="782"/>
      <c r="UIV12" s="782"/>
      <c r="UIW12" s="777"/>
      <c r="UIX12" s="778"/>
      <c r="UIY12" s="779"/>
      <c r="UIZ12" s="780"/>
      <c r="UJA12" s="781"/>
      <c r="UJB12" s="782"/>
      <c r="UJC12" s="782"/>
      <c r="UJD12" s="777"/>
      <c r="UJE12" s="778"/>
      <c r="UJF12" s="779"/>
      <c r="UJG12" s="780"/>
      <c r="UJH12" s="781"/>
      <c r="UJI12" s="782"/>
      <c r="UJJ12" s="782"/>
      <c r="UJK12" s="777"/>
      <c r="UJL12" s="778"/>
      <c r="UJM12" s="779"/>
      <c r="UJN12" s="780"/>
      <c r="UJO12" s="781"/>
      <c r="UJP12" s="782"/>
      <c r="UJQ12" s="782"/>
      <c r="UJR12" s="777"/>
      <c r="UJS12" s="778"/>
      <c r="UJT12" s="779"/>
      <c r="UJU12" s="780"/>
      <c r="UJV12" s="781"/>
      <c r="UJW12" s="782"/>
      <c r="UJX12" s="782"/>
      <c r="UJY12" s="777"/>
      <c r="UJZ12" s="778"/>
      <c r="UKA12" s="779"/>
      <c r="UKB12" s="780"/>
      <c r="UKC12" s="781"/>
      <c r="UKD12" s="782"/>
      <c r="UKE12" s="782"/>
      <c r="UKF12" s="777"/>
      <c r="UKG12" s="778"/>
      <c r="UKH12" s="779"/>
      <c r="UKI12" s="780"/>
      <c r="UKJ12" s="781"/>
      <c r="UKK12" s="782"/>
      <c r="UKL12" s="782"/>
      <c r="UKM12" s="777"/>
      <c r="UKN12" s="778"/>
      <c r="UKO12" s="779"/>
      <c r="UKP12" s="780"/>
      <c r="UKQ12" s="781"/>
      <c r="UKR12" s="782"/>
      <c r="UKS12" s="782"/>
      <c r="UKT12" s="777"/>
      <c r="UKU12" s="778"/>
      <c r="UKV12" s="779"/>
      <c r="UKW12" s="780"/>
      <c r="UKX12" s="781"/>
      <c r="UKY12" s="782"/>
      <c r="UKZ12" s="782"/>
      <c r="ULA12" s="777"/>
      <c r="ULB12" s="778"/>
      <c r="ULC12" s="779"/>
      <c r="ULD12" s="780"/>
      <c r="ULE12" s="781"/>
      <c r="ULF12" s="782"/>
      <c r="ULG12" s="782"/>
      <c r="ULH12" s="777"/>
      <c r="ULI12" s="778"/>
      <c r="ULJ12" s="779"/>
      <c r="ULK12" s="780"/>
      <c r="ULL12" s="781"/>
      <c r="ULM12" s="782"/>
      <c r="ULN12" s="782"/>
      <c r="ULO12" s="777"/>
      <c r="ULP12" s="778"/>
      <c r="ULQ12" s="779"/>
      <c r="ULR12" s="780"/>
      <c r="ULS12" s="781"/>
      <c r="ULT12" s="782"/>
      <c r="ULU12" s="782"/>
      <c r="ULV12" s="777"/>
      <c r="ULW12" s="778"/>
      <c r="ULX12" s="779"/>
      <c r="ULY12" s="780"/>
      <c r="ULZ12" s="781"/>
      <c r="UMA12" s="782"/>
      <c r="UMB12" s="782"/>
      <c r="UMC12" s="777"/>
      <c r="UMD12" s="778"/>
      <c r="UME12" s="779"/>
      <c r="UMF12" s="780"/>
      <c r="UMG12" s="781"/>
      <c r="UMH12" s="782"/>
      <c r="UMI12" s="782"/>
      <c r="UMJ12" s="777"/>
      <c r="UMK12" s="778"/>
      <c r="UML12" s="779"/>
      <c r="UMM12" s="780"/>
      <c r="UMN12" s="781"/>
      <c r="UMO12" s="782"/>
      <c r="UMP12" s="782"/>
      <c r="UMQ12" s="777"/>
      <c r="UMR12" s="778"/>
      <c r="UMS12" s="779"/>
      <c r="UMT12" s="780"/>
      <c r="UMU12" s="781"/>
      <c r="UMV12" s="782"/>
      <c r="UMW12" s="782"/>
      <c r="UMX12" s="777"/>
      <c r="UMY12" s="778"/>
      <c r="UMZ12" s="779"/>
      <c r="UNA12" s="780"/>
      <c r="UNB12" s="781"/>
      <c r="UNC12" s="782"/>
      <c r="UND12" s="782"/>
      <c r="UNE12" s="777"/>
      <c r="UNF12" s="778"/>
      <c r="UNG12" s="779"/>
      <c r="UNH12" s="780"/>
      <c r="UNI12" s="781"/>
      <c r="UNJ12" s="782"/>
      <c r="UNK12" s="782"/>
      <c r="UNL12" s="777"/>
      <c r="UNM12" s="778"/>
      <c r="UNN12" s="779"/>
      <c r="UNO12" s="780"/>
      <c r="UNP12" s="781"/>
      <c r="UNQ12" s="782"/>
      <c r="UNR12" s="782"/>
      <c r="UNS12" s="777"/>
      <c r="UNT12" s="778"/>
      <c r="UNU12" s="779"/>
      <c r="UNV12" s="780"/>
      <c r="UNW12" s="781"/>
      <c r="UNX12" s="782"/>
      <c r="UNY12" s="782"/>
      <c r="UNZ12" s="777"/>
      <c r="UOA12" s="778"/>
      <c r="UOB12" s="779"/>
      <c r="UOC12" s="780"/>
      <c r="UOD12" s="781"/>
      <c r="UOE12" s="782"/>
      <c r="UOF12" s="782"/>
      <c r="UOG12" s="777"/>
      <c r="UOH12" s="778"/>
      <c r="UOI12" s="779"/>
      <c r="UOJ12" s="780"/>
      <c r="UOK12" s="781"/>
      <c r="UOL12" s="782"/>
      <c r="UOM12" s="782"/>
      <c r="UON12" s="777"/>
      <c r="UOO12" s="778"/>
      <c r="UOP12" s="779"/>
      <c r="UOQ12" s="780"/>
      <c r="UOR12" s="781"/>
      <c r="UOS12" s="782"/>
      <c r="UOT12" s="782"/>
      <c r="UOU12" s="777"/>
      <c r="UOV12" s="778"/>
      <c r="UOW12" s="779"/>
      <c r="UOX12" s="780"/>
      <c r="UOY12" s="781"/>
      <c r="UOZ12" s="782"/>
      <c r="UPA12" s="782"/>
      <c r="UPB12" s="777"/>
      <c r="UPC12" s="778"/>
      <c r="UPD12" s="779"/>
      <c r="UPE12" s="780"/>
      <c r="UPF12" s="781"/>
      <c r="UPG12" s="782"/>
      <c r="UPH12" s="782"/>
      <c r="UPI12" s="777"/>
      <c r="UPJ12" s="778"/>
      <c r="UPK12" s="779"/>
      <c r="UPL12" s="780"/>
      <c r="UPM12" s="781"/>
      <c r="UPN12" s="782"/>
      <c r="UPO12" s="782"/>
      <c r="UPP12" s="777"/>
      <c r="UPQ12" s="778"/>
      <c r="UPR12" s="779"/>
      <c r="UPS12" s="780"/>
      <c r="UPT12" s="781"/>
      <c r="UPU12" s="782"/>
      <c r="UPV12" s="782"/>
      <c r="UPW12" s="777"/>
      <c r="UPX12" s="778"/>
      <c r="UPY12" s="779"/>
      <c r="UPZ12" s="780"/>
      <c r="UQA12" s="781"/>
      <c r="UQB12" s="782"/>
      <c r="UQC12" s="782"/>
      <c r="UQD12" s="777"/>
      <c r="UQE12" s="778"/>
      <c r="UQF12" s="779"/>
      <c r="UQG12" s="780"/>
      <c r="UQH12" s="781"/>
      <c r="UQI12" s="782"/>
      <c r="UQJ12" s="782"/>
      <c r="UQK12" s="777"/>
      <c r="UQL12" s="778"/>
      <c r="UQM12" s="779"/>
      <c r="UQN12" s="780"/>
      <c r="UQO12" s="781"/>
      <c r="UQP12" s="782"/>
      <c r="UQQ12" s="782"/>
      <c r="UQR12" s="777"/>
      <c r="UQS12" s="778"/>
      <c r="UQT12" s="779"/>
      <c r="UQU12" s="780"/>
      <c r="UQV12" s="781"/>
      <c r="UQW12" s="782"/>
      <c r="UQX12" s="782"/>
      <c r="UQY12" s="777"/>
      <c r="UQZ12" s="778"/>
      <c r="URA12" s="779"/>
      <c r="URB12" s="780"/>
      <c r="URC12" s="781"/>
      <c r="URD12" s="782"/>
      <c r="URE12" s="782"/>
      <c r="URF12" s="777"/>
      <c r="URG12" s="778"/>
      <c r="URH12" s="779"/>
      <c r="URI12" s="780"/>
      <c r="URJ12" s="781"/>
      <c r="URK12" s="782"/>
      <c r="URL12" s="782"/>
      <c r="URM12" s="777"/>
      <c r="URN12" s="778"/>
      <c r="URO12" s="779"/>
      <c r="URP12" s="780"/>
      <c r="URQ12" s="781"/>
      <c r="URR12" s="782"/>
      <c r="URS12" s="782"/>
      <c r="URT12" s="777"/>
      <c r="URU12" s="778"/>
      <c r="URV12" s="779"/>
      <c r="URW12" s="780"/>
      <c r="URX12" s="781"/>
      <c r="URY12" s="782"/>
      <c r="URZ12" s="782"/>
      <c r="USA12" s="777"/>
      <c r="USB12" s="778"/>
      <c r="USC12" s="779"/>
      <c r="USD12" s="780"/>
      <c r="USE12" s="781"/>
      <c r="USF12" s="782"/>
      <c r="USG12" s="782"/>
      <c r="USH12" s="777"/>
      <c r="USI12" s="778"/>
      <c r="USJ12" s="779"/>
      <c r="USK12" s="780"/>
      <c r="USL12" s="781"/>
      <c r="USM12" s="782"/>
      <c r="USN12" s="782"/>
      <c r="USO12" s="777"/>
      <c r="USP12" s="778"/>
      <c r="USQ12" s="779"/>
      <c r="USR12" s="780"/>
      <c r="USS12" s="781"/>
      <c r="UST12" s="782"/>
      <c r="USU12" s="782"/>
      <c r="USV12" s="777"/>
      <c r="USW12" s="778"/>
      <c r="USX12" s="779"/>
      <c r="USY12" s="780"/>
      <c r="USZ12" s="781"/>
      <c r="UTA12" s="782"/>
      <c r="UTB12" s="782"/>
      <c r="UTC12" s="777"/>
      <c r="UTD12" s="778"/>
      <c r="UTE12" s="779"/>
      <c r="UTF12" s="780"/>
      <c r="UTG12" s="781"/>
      <c r="UTH12" s="782"/>
      <c r="UTI12" s="782"/>
      <c r="UTJ12" s="777"/>
      <c r="UTK12" s="778"/>
      <c r="UTL12" s="779"/>
      <c r="UTM12" s="780"/>
      <c r="UTN12" s="781"/>
      <c r="UTO12" s="782"/>
      <c r="UTP12" s="782"/>
      <c r="UTQ12" s="777"/>
      <c r="UTR12" s="778"/>
      <c r="UTS12" s="779"/>
      <c r="UTT12" s="780"/>
      <c r="UTU12" s="781"/>
      <c r="UTV12" s="782"/>
      <c r="UTW12" s="782"/>
      <c r="UTX12" s="777"/>
      <c r="UTY12" s="778"/>
      <c r="UTZ12" s="779"/>
      <c r="UUA12" s="780"/>
      <c r="UUB12" s="781"/>
      <c r="UUC12" s="782"/>
      <c r="UUD12" s="782"/>
      <c r="UUE12" s="777"/>
      <c r="UUF12" s="778"/>
      <c r="UUG12" s="779"/>
      <c r="UUH12" s="780"/>
      <c r="UUI12" s="781"/>
      <c r="UUJ12" s="782"/>
      <c r="UUK12" s="782"/>
      <c r="UUL12" s="777"/>
      <c r="UUM12" s="778"/>
      <c r="UUN12" s="779"/>
      <c r="UUO12" s="780"/>
      <c r="UUP12" s="781"/>
      <c r="UUQ12" s="782"/>
      <c r="UUR12" s="782"/>
      <c r="UUS12" s="777"/>
      <c r="UUT12" s="778"/>
      <c r="UUU12" s="779"/>
      <c r="UUV12" s="780"/>
      <c r="UUW12" s="781"/>
      <c r="UUX12" s="782"/>
      <c r="UUY12" s="782"/>
      <c r="UUZ12" s="777"/>
      <c r="UVA12" s="778"/>
      <c r="UVB12" s="779"/>
      <c r="UVC12" s="780"/>
      <c r="UVD12" s="781"/>
      <c r="UVE12" s="782"/>
      <c r="UVF12" s="782"/>
      <c r="UVG12" s="777"/>
      <c r="UVH12" s="778"/>
      <c r="UVI12" s="779"/>
      <c r="UVJ12" s="780"/>
      <c r="UVK12" s="781"/>
      <c r="UVL12" s="782"/>
      <c r="UVM12" s="782"/>
      <c r="UVN12" s="777"/>
      <c r="UVO12" s="778"/>
      <c r="UVP12" s="779"/>
      <c r="UVQ12" s="780"/>
      <c r="UVR12" s="781"/>
      <c r="UVS12" s="782"/>
      <c r="UVT12" s="782"/>
      <c r="UVU12" s="777"/>
      <c r="UVV12" s="778"/>
      <c r="UVW12" s="779"/>
      <c r="UVX12" s="780"/>
      <c r="UVY12" s="781"/>
      <c r="UVZ12" s="782"/>
      <c r="UWA12" s="782"/>
      <c r="UWB12" s="777"/>
      <c r="UWC12" s="778"/>
      <c r="UWD12" s="779"/>
      <c r="UWE12" s="780"/>
      <c r="UWF12" s="781"/>
      <c r="UWG12" s="782"/>
      <c r="UWH12" s="782"/>
      <c r="UWI12" s="777"/>
      <c r="UWJ12" s="778"/>
      <c r="UWK12" s="779"/>
      <c r="UWL12" s="780"/>
      <c r="UWM12" s="781"/>
      <c r="UWN12" s="782"/>
      <c r="UWO12" s="782"/>
      <c r="UWP12" s="777"/>
      <c r="UWQ12" s="778"/>
      <c r="UWR12" s="779"/>
      <c r="UWS12" s="780"/>
      <c r="UWT12" s="781"/>
      <c r="UWU12" s="782"/>
      <c r="UWV12" s="782"/>
      <c r="UWW12" s="777"/>
      <c r="UWX12" s="778"/>
      <c r="UWY12" s="779"/>
      <c r="UWZ12" s="780"/>
      <c r="UXA12" s="781"/>
      <c r="UXB12" s="782"/>
      <c r="UXC12" s="782"/>
      <c r="UXD12" s="777"/>
      <c r="UXE12" s="778"/>
      <c r="UXF12" s="779"/>
      <c r="UXG12" s="780"/>
      <c r="UXH12" s="781"/>
      <c r="UXI12" s="782"/>
      <c r="UXJ12" s="782"/>
      <c r="UXK12" s="777"/>
      <c r="UXL12" s="778"/>
      <c r="UXM12" s="779"/>
      <c r="UXN12" s="780"/>
      <c r="UXO12" s="781"/>
      <c r="UXP12" s="782"/>
      <c r="UXQ12" s="782"/>
      <c r="UXR12" s="777"/>
      <c r="UXS12" s="778"/>
      <c r="UXT12" s="779"/>
      <c r="UXU12" s="780"/>
      <c r="UXV12" s="781"/>
      <c r="UXW12" s="782"/>
      <c r="UXX12" s="782"/>
      <c r="UXY12" s="777"/>
      <c r="UXZ12" s="778"/>
      <c r="UYA12" s="779"/>
      <c r="UYB12" s="780"/>
      <c r="UYC12" s="781"/>
      <c r="UYD12" s="782"/>
      <c r="UYE12" s="782"/>
      <c r="UYF12" s="777"/>
      <c r="UYG12" s="778"/>
      <c r="UYH12" s="779"/>
      <c r="UYI12" s="780"/>
      <c r="UYJ12" s="781"/>
      <c r="UYK12" s="782"/>
      <c r="UYL12" s="782"/>
      <c r="UYM12" s="777"/>
      <c r="UYN12" s="778"/>
      <c r="UYO12" s="779"/>
      <c r="UYP12" s="780"/>
      <c r="UYQ12" s="781"/>
      <c r="UYR12" s="782"/>
      <c r="UYS12" s="782"/>
      <c r="UYT12" s="777"/>
      <c r="UYU12" s="778"/>
      <c r="UYV12" s="779"/>
      <c r="UYW12" s="780"/>
      <c r="UYX12" s="781"/>
      <c r="UYY12" s="782"/>
      <c r="UYZ12" s="782"/>
      <c r="UZA12" s="777"/>
      <c r="UZB12" s="778"/>
      <c r="UZC12" s="779"/>
      <c r="UZD12" s="780"/>
      <c r="UZE12" s="781"/>
      <c r="UZF12" s="782"/>
      <c r="UZG12" s="782"/>
      <c r="UZH12" s="777"/>
      <c r="UZI12" s="778"/>
      <c r="UZJ12" s="779"/>
      <c r="UZK12" s="780"/>
      <c r="UZL12" s="781"/>
      <c r="UZM12" s="782"/>
      <c r="UZN12" s="782"/>
      <c r="UZO12" s="777"/>
      <c r="UZP12" s="778"/>
      <c r="UZQ12" s="779"/>
      <c r="UZR12" s="780"/>
      <c r="UZS12" s="781"/>
      <c r="UZT12" s="782"/>
      <c r="UZU12" s="782"/>
      <c r="UZV12" s="777"/>
      <c r="UZW12" s="778"/>
      <c r="UZX12" s="779"/>
      <c r="UZY12" s="780"/>
      <c r="UZZ12" s="781"/>
      <c r="VAA12" s="782"/>
      <c r="VAB12" s="782"/>
      <c r="VAC12" s="777"/>
      <c r="VAD12" s="778"/>
      <c r="VAE12" s="779"/>
      <c r="VAF12" s="780"/>
      <c r="VAG12" s="781"/>
      <c r="VAH12" s="782"/>
      <c r="VAI12" s="782"/>
      <c r="VAJ12" s="777"/>
      <c r="VAK12" s="778"/>
      <c r="VAL12" s="779"/>
      <c r="VAM12" s="780"/>
      <c r="VAN12" s="781"/>
      <c r="VAO12" s="782"/>
      <c r="VAP12" s="782"/>
      <c r="VAQ12" s="777"/>
      <c r="VAR12" s="778"/>
      <c r="VAS12" s="779"/>
      <c r="VAT12" s="780"/>
      <c r="VAU12" s="781"/>
      <c r="VAV12" s="782"/>
      <c r="VAW12" s="782"/>
      <c r="VAX12" s="777"/>
      <c r="VAY12" s="778"/>
      <c r="VAZ12" s="779"/>
      <c r="VBA12" s="780"/>
      <c r="VBB12" s="781"/>
      <c r="VBC12" s="782"/>
      <c r="VBD12" s="782"/>
      <c r="VBE12" s="777"/>
      <c r="VBF12" s="778"/>
      <c r="VBG12" s="779"/>
      <c r="VBH12" s="780"/>
      <c r="VBI12" s="781"/>
      <c r="VBJ12" s="782"/>
      <c r="VBK12" s="782"/>
      <c r="VBL12" s="777"/>
      <c r="VBM12" s="778"/>
      <c r="VBN12" s="779"/>
      <c r="VBO12" s="780"/>
      <c r="VBP12" s="781"/>
      <c r="VBQ12" s="782"/>
      <c r="VBR12" s="782"/>
      <c r="VBS12" s="777"/>
      <c r="VBT12" s="778"/>
      <c r="VBU12" s="779"/>
      <c r="VBV12" s="780"/>
      <c r="VBW12" s="781"/>
      <c r="VBX12" s="782"/>
      <c r="VBY12" s="782"/>
      <c r="VBZ12" s="777"/>
      <c r="VCA12" s="778"/>
      <c r="VCB12" s="779"/>
      <c r="VCC12" s="780"/>
      <c r="VCD12" s="781"/>
      <c r="VCE12" s="782"/>
      <c r="VCF12" s="782"/>
      <c r="VCG12" s="777"/>
      <c r="VCH12" s="778"/>
      <c r="VCI12" s="779"/>
      <c r="VCJ12" s="780"/>
      <c r="VCK12" s="781"/>
      <c r="VCL12" s="782"/>
      <c r="VCM12" s="782"/>
      <c r="VCN12" s="777"/>
      <c r="VCO12" s="778"/>
      <c r="VCP12" s="779"/>
      <c r="VCQ12" s="780"/>
      <c r="VCR12" s="781"/>
      <c r="VCS12" s="782"/>
      <c r="VCT12" s="782"/>
      <c r="VCU12" s="777"/>
      <c r="VCV12" s="778"/>
      <c r="VCW12" s="779"/>
      <c r="VCX12" s="780"/>
      <c r="VCY12" s="781"/>
      <c r="VCZ12" s="782"/>
      <c r="VDA12" s="782"/>
      <c r="VDB12" s="777"/>
      <c r="VDC12" s="778"/>
      <c r="VDD12" s="779"/>
      <c r="VDE12" s="780"/>
      <c r="VDF12" s="781"/>
      <c r="VDG12" s="782"/>
      <c r="VDH12" s="782"/>
      <c r="VDI12" s="777"/>
      <c r="VDJ12" s="778"/>
      <c r="VDK12" s="779"/>
      <c r="VDL12" s="780"/>
      <c r="VDM12" s="781"/>
      <c r="VDN12" s="782"/>
      <c r="VDO12" s="782"/>
      <c r="VDP12" s="777"/>
      <c r="VDQ12" s="778"/>
      <c r="VDR12" s="779"/>
      <c r="VDS12" s="780"/>
      <c r="VDT12" s="781"/>
      <c r="VDU12" s="782"/>
      <c r="VDV12" s="782"/>
      <c r="VDW12" s="777"/>
      <c r="VDX12" s="778"/>
      <c r="VDY12" s="779"/>
      <c r="VDZ12" s="780"/>
      <c r="VEA12" s="781"/>
      <c r="VEB12" s="782"/>
      <c r="VEC12" s="782"/>
      <c r="VED12" s="777"/>
      <c r="VEE12" s="778"/>
      <c r="VEF12" s="779"/>
      <c r="VEG12" s="780"/>
      <c r="VEH12" s="781"/>
      <c r="VEI12" s="782"/>
      <c r="VEJ12" s="782"/>
      <c r="VEK12" s="777"/>
      <c r="VEL12" s="778"/>
      <c r="VEM12" s="779"/>
      <c r="VEN12" s="780"/>
      <c r="VEO12" s="781"/>
      <c r="VEP12" s="782"/>
      <c r="VEQ12" s="782"/>
      <c r="VER12" s="777"/>
      <c r="VES12" s="778"/>
      <c r="VET12" s="779"/>
      <c r="VEU12" s="780"/>
      <c r="VEV12" s="781"/>
      <c r="VEW12" s="782"/>
      <c r="VEX12" s="782"/>
      <c r="VEY12" s="777"/>
      <c r="VEZ12" s="778"/>
      <c r="VFA12" s="779"/>
      <c r="VFB12" s="780"/>
      <c r="VFC12" s="781"/>
      <c r="VFD12" s="782"/>
      <c r="VFE12" s="782"/>
      <c r="VFF12" s="777"/>
      <c r="VFG12" s="778"/>
      <c r="VFH12" s="779"/>
      <c r="VFI12" s="780"/>
      <c r="VFJ12" s="781"/>
      <c r="VFK12" s="782"/>
      <c r="VFL12" s="782"/>
      <c r="VFM12" s="777"/>
      <c r="VFN12" s="778"/>
      <c r="VFO12" s="779"/>
      <c r="VFP12" s="780"/>
      <c r="VFQ12" s="781"/>
      <c r="VFR12" s="782"/>
      <c r="VFS12" s="782"/>
      <c r="VFT12" s="777"/>
      <c r="VFU12" s="778"/>
      <c r="VFV12" s="779"/>
      <c r="VFW12" s="780"/>
      <c r="VFX12" s="781"/>
      <c r="VFY12" s="782"/>
      <c r="VFZ12" s="782"/>
      <c r="VGA12" s="777"/>
      <c r="VGB12" s="778"/>
      <c r="VGC12" s="779"/>
      <c r="VGD12" s="780"/>
      <c r="VGE12" s="781"/>
      <c r="VGF12" s="782"/>
      <c r="VGG12" s="782"/>
      <c r="VGH12" s="777"/>
      <c r="VGI12" s="778"/>
      <c r="VGJ12" s="779"/>
      <c r="VGK12" s="780"/>
      <c r="VGL12" s="781"/>
      <c r="VGM12" s="782"/>
      <c r="VGN12" s="782"/>
      <c r="VGO12" s="777"/>
      <c r="VGP12" s="778"/>
      <c r="VGQ12" s="779"/>
      <c r="VGR12" s="780"/>
      <c r="VGS12" s="781"/>
      <c r="VGT12" s="782"/>
      <c r="VGU12" s="782"/>
      <c r="VGV12" s="777"/>
      <c r="VGW12" s="778"/>
      <c r="VGX12" s="779"/>
      <c r="VGY12" s="780"/>
      <c r="VGZ12" s="781"/>
      <c r="VHA12" s="782"/>
      <c r="VHB12" s="782"/>
      <c r="VHC12" s="777"/>
      <c r="VHD12" s="778"/>
      <c r="VHE12" s="779"/>
      <c r="VHF12" s="780"/>
      <c r="VHG12" s="781"/>
      <c r="VHH12" s="782"/>
      <c r="VHI12" s="782"/>
      <c r="VHJ12" s="777"/>
      <c r="VHK12" s="778"/>
      <c r="VHL12" s="779"/>
      <c r="VHM12" s="780"/>
      <c r="VHN12" s="781"/>
      <c r="VHO12" s="782"/>
      <c r="VHP12" s="782"/>
      <c r="VHQ12" s="777"/>
      <c r="VHR12" s="778"/>
      <c r="VHS12" s="779"/>
      <c r="VHT12" s="780"/>
      <c r="VHU12" s="781"/>
      <c r="VHV12" s="782"/>
      <c r="VHW12" s="782"/>
      <c r="VHX12" s="777"/>
      <c r="VHY12" s="778"/>
      <c r="VHZ12" s="779"/>
      <c r="VIA12" s="780"/>
      <c r="VIB12" s="781"/>
      <c r="VIC12" s="782"/>
      <c r="VID12" s="782"/>
      <c r="VIE12" s="777"/>
      <c r="VIF12" s="778"/>
      <c r="VIG12" s="779"/>
      <c r="VIH12" s="780"/>
      <c r="VII12" s="781"/>
      <c r="VIJ12" s="782"/>
      <c r="VIK12" s="782"/>
      <c r="VIL12" s="777"/>
      <c r="VIM12" s="778"/>
      <c r="VIN12" s="779"/>
      <c r="VIO12" s="780"/>
      <c r="VIP12" s="781"/>
      <c r="VIQ12" s="782"/>
      <c r="VIR12" s="782"/>
      <c r="VIS12" s="777"/>
      <c r="VIT12" s="778"/>
      <c r="VIU12" s="779"/>
      <c r="VIV12" s="780"/>
      <c r="VIW12" s="781"/>
      <c r="VIX12" s="782"/>
      <c r="VIY12" s="782"/>
      <c r="VIZ12" s="777"/>
      <c r="VJA12" s="778"/>
      <c r="VJB12" s="779"/>
      <c r="VJC12" s="780"/>
      <c r="VJD12" s="781"/>
      <c r="VJE12" s="782"/>
      <c r="VJF12" s="782"/>
      <c r="VJG12" s="777"/>
      <c r="VJH12" s="778"/>
      <c r="VJI12" s="779"/>
      <c r="VJJ12" s="780"/>
      <c r="VJK12" s="781"/>
      <c r="VJL12" s="782"/>
      <c r="VJM12" s="782"/>
      <c r="VJN12" s="777"/>
      <c r="VJO12" s="778"/>
      <c r="VJP12" s="779"/>
      <c r="VJQ12" s="780"/>
      <c r="VJR12" s="781"/>
      <c r="VJS12" s="782"/>
      <c r="VJT12" s="782"/>
      <c r="VJU12" s="777"/>
      <c r="VJV12" s="778"/>
      <c r="VJW12" s="779"/>
      <c r="VJX12" s="780"/>
      <c r="VJY12" s="781"/>
      <c r="VJZ12" s="782"/>
      <c r="VKA12" s="782"/>
      <c r="VKB12" s="777"/>
      <c r="VKC12" s="778"/>
      <c r="VKD12" s="779"/>
      <c r="VKE12" s="780"/>
      <c r="VKF12" s="781"/>
      <c r="VKG12" s="782"/>
      <c r="VKH12" s="782"/>
      <c r="VKI12" s="777"/>
      <c r="VKJ12" s="778"/>
      <c r="VKK12" s="779"/>
      <c r="VKL12" s="780"/>
      <c r="VKM12" s="781"/>
      <c r="VKN12" s="782"/>
      <c r="VKO12" s="782"/>
      <c r="VKP12" s="777"/>
      <c r="VKQ12" s="778"/>
      <c r="VKR12" s="779"/>
      <c r="VKS12" s="780"/>
      <c r="VKT12" s="781"/>
      <c r="VKU12" s="782"/>
      <c r="VKV12" s="782"/>
      <c r="VKW12" s="777"/>
      <c r="VKX12" s="778"/>
      <c r="VKY12" s="779"/>
      <c r="VKZ12" s="780"/>
      <c r="VLA12" s="781"/>
      <c r="VLB12" s="782"/>
      <c r="VLC12" s="782"/>
      <c r="VLD12" s="777"/>
      <c r="VLE12" s="778"/>
      <c r="VLF12" s="779"/>
      <c r="VLG12" s="780"/>
      <c r="VLH12" s="781"/>
      <c r="VLI12" s="782"/>
      <c r="VLJ12" s="782"/>
      <c r="VLK12" s="777"/>
      <c r="VLL12" s="778"/>
      <c r="VLM12" s="779"/>
      <c r="VLN12" s="780"/>
      <c r="VLO12" s="781"/>
      <c r="VLP12" s="782"/>
      <c r="VLQ12" s="782"/>
      <c r="VLR12" s="777"/>
      <c r="VLS12" s="778"/>
      <c r="VLT12" s="779"/>
      <c r="VLU12" s="780"/>
      <c r="VLV12" s="781"/>
      <c r="VLW12" s="782"/>
      <c r="VLX12" s="782"/>
      <c r="VLY12" s="777"/>
      <c r="VLZ12" s="778"/>
      <c r="VMA12" s="779"/>
      <c r="VMB12" s="780"/>
      <c r="VMC12" s="781"/>
      <c r="VMD12" s="782"/>
      <c r="VME12" s="782"/>
      <c r="VMF12" s="777"/>
      <c r="VMG12" s="778"/>
      <c r="VMH12" s="779"/>
      <c r="VMI12" s="780"/>
      <c r="VMJ12" s="781"/>
      <c r="VMK12" s="782"/>
      <c r="VML12" s="782"/>
      <c r="VMM12" s="777"/>
      <c r="VMN12" s="778"/>
      <c r="VMO12" s="779"/>
      <c r="VMP12" s="780"/>
      <c r="VMQ12" s="781"/>
      <c r="VMR12" s="782"/>
      <c r="VMS12" s="782"/>
      <c r="VMT12" s="777"/>
      <c r="VMU12" s="778"/>
      <c r="VMV12" s="779"/>
      <c r="VMW12" s="780"/>
      <c r="VMX12" s="781"/>
      <c r="VMY12" s="782"/>
      <c r="VMZ12" s="782"/>
      <c r="VNA12" s="777"/>
      <c r="VNB12" s="778"/>
      <c r="VNC12" s="779"/>
      <c r="VND12" s="780"/>
      <c r="VNE12" s="781"/>
      <c r="VNF12" s="782"/>
      <c r="VNG12" s="782"/>
      <c r="VNH12" s="777"/>
      <c r="VNI12" s="778"/>
      <c r="VNJ12" s="779"/>
      <c r="VNK12" s="780"/>
      <c r="VNL12" s="781"/>
      <c r="VNM12" s="782"/>
      <c r="VNN12" s="782"/>
      <c r="VNO12" s="777"/>
      <c r="VNP12" s="778"/>
      <c r="VNQ12" s="779"/>
      <c r="VNR12" s="780"/>
      <c r="VNS12" s="781"/>
      <c r="VNT12" s="782"/>
      <c r="VNU12" s="782"/>
      <c r="VNV12" s="777"/>
      <c r="VNW12" s="778"/>
      <c r="VNX12" s="779"/>
      <c r="VNY12" s="780"/>
      <c r="VNZ12" s="781"/>
      <c r="VOA12" s="782"/>
      <c r="VOB12" s="782"/>
      <c r="VOC12" s="777"/>
      <c r="VOD12" s="778"/>
      <c r="VOE12" s="779"/>
      <c r="VOF12" s="780"/>
      <c r="VOG12" s="781"/>
      <c r="VOH12" s="782"/>
      <c r="VOI12" s="782"/>
      <c r="VOJ12" s="777"/>
      <c r="VOK12" s="778"/>
      <c r="VOL12" s="779"/>
      <c r="VOM12" s="780"/>
      <c r="VON12" s="781"/>
      <c r="VOO12" s="782"/>
      <c r="VOP12" s="782"/>
      <c r="VOQ12" s="777"/>
      <c r="VOR12" s="778"/>
      <c r="VOS12" s="779"/>
      <c r="VOT12" s="780"/>
      <c r="VOU12" s="781"/>
      <c r="VOV12" s="782"/>
      <c r="VOW12" s="782"/>
      <c r="VOX12" s="777"/>
      <c r="VOY12" s="778"/>
      <c r="VOZ12" s="779"/>
      <c r="VPA12" s="780"/>
      <c r="VPB12" s="781"/>
      <c r="VPC12" s="782"/>
      <c r="VPD12" s="782"/>
      <c r="VPE12" s="777"/>
      <c r="VPF12" s="778"/>
      <c r="VPG12" s="779"/>
      <c r="VPH12" s="780"/>
      <c r="VPI12" s="781"/>
      <c r="VPJ12" s="782"/>
      <c r="VPK12" s="782"/>
      <c r="VPL12" s="777"/>
      <c r="VPM12" s="778"/>
      <c r="VPN12" s="779"/>
      <c r="VPO12" s="780"/>
      <c r="VPP12" s="781"/>
      <c r="VPQ12" s="782"/>
      <c r="VPR12" s="782"/>
      <c r="VPS12" s="777"/>
      <c r="VPT12" s="778"/>
      <c r="VPU12" s="779"/>
      <c r="VPV12" s="780"/>
      <c r="VPW12" s="781"/>
      <c r="VPX12" s="782"/>
      <c r="VPY12" s="782"/>
      <c r="VPZ12" s="777"/>
      <c r="VQA12" s="778"/>
      <c r="VQB12" s="779"/>
      <c r="VQC12" s="780"/>
      <c r="VQD12" s="781"/>
      <c r="VQE12" s="782"/>
      <c r="VQF12" s="782"/>
      <c r="VQG12" s="777"/>
      <c r="VQH12" s="778"/>
      <c r="VQI12" s="779"/>
      <c r="VQJ12" s="780"/>
      <c r="VQK12" s="781"/>
      <c r="VQL12" s="782"/>
      <c r="VQM12" s="782"/>
      <c r="VQN12" s="777"/>
      <c r="VQO12" s="778"/>
      <c r="VQP12" s="779"/>
      <c r="VQQ12" s="780"/>
      <c r="VQR12" s="781"/>
      <c r="VQS12" s="782"/>
      <c r="VQT12" s="782"/>
      <c r="VQU12" s="777"/>
      <c r="VQV12" s="778"/>
      <c r="VQW12" s="779"/>
      <c r="VQX12" s="780"/>
      <c r="VQY12" s="781"/>
      <c r="VQZ12" s="782"/>
      <c r="VRA12" s="782"/>
      <c r="VRB12" s="777"/>
      <c r="VRC12" s="778"/>
      <c r="VRD12" s="779"/>
      <c r="VRE12" s="780"/>
      <c r="VRF12" s="781"/>
      <c r="VRG12" s="782"/>
      <c r="VRH12" s="782"/>
      <c r="VRI12" s="777"/>
      <c r="VRJ12" s="778"/>
      <c r="VRK12" s="779"/>
      <c r="VRL12" s="780"/>
      <c r="VRM12" s="781"/>
      <c r="VRN12" s="782"/>
      <c r="VRO12" s="782"/>
      <c r="VRP12" s="777"/>
      <c r="VRQ12" s="778"/>
      <c r="VRR12" s="779"/>
      <c r="VRS12" s="780"/>
      <c r="VRT12" s="781"/>
      <c r="VRU12" s="782"/>
      <c r="VRV12" s="782"/>
      <c r="VRW12" s="777"/>
      <c r="VRX12" s="778"/>
      <c r="VRY12" s="779"/>
      <c r="VRZ12" s="780"/>
      <c r="VSA12" s="781"/>
      <c r="VSB12" s="782"/>
      <c r="VSC12" s="782"/>
      <c r="VSD12" s="777"/>
      <c r="VSE12" s="778"/>
      <c r="VSF12" s="779"/>
      <c r="VSG12" s="780"/>
      <c r="VSH12" s="781"/>
      <c r="VSI12" s="782"/>
      <c r="VSJ12" s="782"/>
      <c r="VSK12" s="777"/>
      <c r="VSL12" s="778"/>
      <c r="VSM12" s="779"/>
      <c r="VSN12" s="780"/>
      <c r="VSO12" s="781"/>
      <c r="VSP12" s="782"/>
      <c r="VSQ12" s="782"/>
      <c r="VSR12" s="777"/>
      <c r="VSS12" s="778"/>
      <c r="VST12" s="779"/>
      <c r="VSU12" s="780"/>
      <c r="VSV12" s="781"/>
      <c r="VSW12" s="782"/>
      <c r="VSX12" s="782"/>
      <c r="VSY12" s="777"/>
      <c r="VSZ12" s="778"/>
      <c r="VTA12" s="779"/>
      <c r="VTB12" s="780"/>
      <c r="VTC12" s="781"/>
      <c r="VTD12" s="782"/>
      <c r="VTE12" s="782"/>
      <c r="VTF12" s="777"/>
      <c r="VTG12" s="778"/>
      <c r="VTH12" s="779"/>
      <c r="VTI12" s="780"/>
      <c r="VTJ12" s="781"/>
      <c r="VTK12" s="782"/>
      <c r="VTL12" s="782"/>
      <c r="VTM12" s="777"/>
      <c r="VTN12" s="778"/>
      <c r="VTO12" s="779"/>
      <c r="VTP12" s="780"/>
      <c r="VTQ12" s="781"/>
      <c r="VTR12" s="782"/>
      <c r="VTS12" s="782"/>
      <c r="VTT12" s="777"/>
      <c r="VTU12" s="778"/>
      <c r="VTV12" s="779"/>
      <c r="VTW12" s="780"/>
      <c r="VTX12" s="781"/>
      <c r="VTY12" s="782"/>
      <c r="VTZ12" s="782"/>
      <c r="VUA12" s="777"/>
      <c r="VUB12" s="778"/>
      <c r="VUC12" s="779"/>
      <c r="VUD12" s="780"/>
      <c r="VUE12" s="781"/>
      <c r="VUF12" s="782"/>
      <c r="VUG12" s="782"/>
      <c r="VUH12" s="777"/>
      <c r="VUI12" s="778"/>
      <c r="VUJ12" s="779"/>
      <c r="VUK12" s="780"/>
      <c r="VUL12" s="781"/>
      <c r="VUM12" s="782"/>
      <c r="VUN12" s="782"/>
      <c r="VUO12" s="777"/>
      <c r="VUP12" s="778"/>
      <c r="VUQ12" s="779"/>
      <c r="VUR12" s="780"/>
      <c r="VUS12" s="781"/>
      <c r="VUT12" s="782"/>
      <c r="VUU12" s="782"/>
      <c r="VUV12" s="777"/>
      <c r="VUW12" s="778"/>
      <c r="VUX12" s="779"/>
      <c r="VUY12" s="780"/>
      <c r="VUZ12" s="781"/>
      <c r="VVA12" s="782"/>
      <c r="VVB12" s="782"/>
      <c r="VVC12" s="777"/>
      <c r="VVD12" s="778"/>
      <c r="VVE12" s="779"/>
      <c r="VVF12" s="780"/>
      <c r="VVG12" s="781"/>
      <c r="VVH12" s="782"/>
      <c r="VVI12" s="782"/>
      <c r="VVJ12" s="777"/>
      <c r="VVK12" s="778"/>
      <c r="VVL12" s="779"/>
      <c r="VVM12" s="780"/>
      <c r="VVN12" s="781"/>
      <c r="VVO12" s="782"/>
      <c r="VVP12" s="782"/>
      <c r="VVQ12" s="777"/>
      <c r="VVR12" s="778"/>
      <c r="VVS12" s="779"/>
      <c r="VVT12" s="780"/>
      <c r="VVU12" s="781"/>
      <c r="VVV12" s="782"/>
      <c r="VVW12" s="782"/>
      <c r="VVX12" s="777"/>
      <c r="VVY12" s="778"/>
      <c r="VVZ12" s="779"/>
      <c r="VWA12" s="780"/>
      <c r="VWB12" s="781"/>
      <c r="VWC12" s="782"/>
      <c r="VWD12" s="782"/>
      <c r="VWE12" s="777"/>
      <c r="VWF12" s="778"/>
      <c r="VWG12" s="779"/>
      <c r="VWH12" s="780"/>
      <c r="VWI12" s="781"/>
      <c r="VWJ12" s="782"/>
      <c r="VWK12" s="782"/>
      <c r="VWL12" s="777"/>
      <c r="VWM12" s="778"/>
      <c r="VWN12" s="779"/>
      <c r="VWO12" s="780"/>
      <c r="VWP12" s="781"/>
      <c r="VWQ12" s="782"/>
      <c r="VWR12" s="782"/>
      <c r="VWS12" s="777"/>
      <c r="VWT12" s="778"/>
      <c r="VWU12" s="779"/>
      <c r="VWV12" s="780"/>
      <c r="VWW12" s="781"/>
      <c r="VWX12" s="782"/>
      <c r="VWY12" s="782"/>
      <c r="VWZ12" s="777"/>
      <c r="VXA12" s="778"/>
      <c r="VXB12" s="779"/>
      <c r="VXC12" s="780"/>
      <c r="VXD12" s="781"/>
      <c r="VXE12" s="782"/>
      <c r="VXF12" s="782"/>
      <c r="VXG12" s="777"/>
      <c r="VXH12" s="778"/>
      <c r="VXI12" s="779"/>
      <c r="VXJ12" s="780"/>
      <c r="VXK12" s="781"/>
      <c r="VXL12" s="782"/>
      <c r="VXM12" s="782"/>
      <c r="VXN12" s="777"/>
      <c r="VXO12" s="778"/>
      <c r="VXP12" s="779"/>
      <c r="VXQ12" s="780"/>
      <c r="VXR12" s="781"/>
      <c r="VXS12" s="782"/>
      <c r="VXT12" s="782"/>
      <c r="VXU12" s="777"/>
      <c r="VXV12" s="778"/>
      <c r="VXW12" s="779"/>
      <c r="VXX12" s="780"/>
      <c r="VXY12" s="781"/>
      <c r="VXZ12" s="782"/>
      <c r="VYA12" s="782"/>
      <c r="VYB12" s="777"/>
      <c r="VYC12" s="778"/>
      <c r="VYD12" s="779"/>
      <c r="VYE12" s="780"/>
      <c r="VYF12" s="781"/>
      <c r="VYG12" s="782"/>
      <c r="VYH12" s="782"/>
      <c r="VYI12" s="777"/>
      <c r="VYJ12" s="778"/>
      <c r="VYK12" s="779"/>
      <c r="VYL12" s="780"/>
      <c r="VYM12" s="781"/>
      <c r="VYN12" s="782"/>
      <c r="VYO12" s="782"/>
      <c r="VYP12" s="777"/>
      <c r="VYQ12" s="778"/>
      <c r="VYR12" s="779"/>
      <c r="VYS12" s="780"/>
      <c r="VYT12" s="781"/>
      <c r="VYU12" s="782"/>
      <c r="VYV12" s="782"/>
      <c r="VYW12" s="777"/>
      <c r="VYX12" s="778"/>
      <c r="VYY12" s="779"/>
      <c r="VYZ12" s="780"/>
      <c r="VZA12" s="781"/>
      <c r="VZB12" s="782"/>
      <c r="VZC12" s="782"/>
      <c r="VZD12" s="777"/>
      <c r="VZE12" s="778"/>
      <c r="VZF12" s="779"/>
      <c r="VZG12" s="780"/>
      <c r="VZH12" s="781"/>
      <c r="VZI12" s="782"/>
      <c r="VZJ12" s="782"/>
      <c r="VZK12" s="777"/>
      <c r="VZL12" s="778"/>
      <c r="VZM12" s="779"/>
      <c r="VZN12" s="780"/>
      <c r="VZO12" s="781"/>
      <c r="VZP12" s="782"/>
      <c r="VZQ12" s="782"/>
      <c r="VZR12" s="777"/>
      <c r="VZS12" s="778"/>
      <c r="VZT12" s="779"/>
      <c r="VZU12" s="780"/>
      <c r="VZV12" s="781"/>
      <c r="VZW12" s="782"/>
      <c r="VZX12" s="782"/>
      <c r="VZY12" s="777"/>
      <c r="VZZ12" s="778"/>
      <c r="WAA12" s="779"/>
      <c r="WAB12" s="780"/>
      <c r="WAC12" s="781"/>
      <c r="WAD12" s="782"/>
      <c r="WAE12" s="782"/>
      <c r="WAF12" s="777"/>
      <c r="WAG12" s="778"/>
      <c r="WAH12" s="779"/>
      <c r="WAI12" s="780"/>
      <c r="WAJ12" s="781"/>
      <c r="WAK12" s="782"/>
      <c r="WAL12" s="782"/>
      <c r="WAM12" s="777"/>
      <c r="WAN12" s="778"/>
      <c r="WAO12" s="779"/>
      <c r="WAP12" s="780"/>
      <c r="WAQ12" s="781"/>
      <c r="WAR12" s="782"/>
      <c r="WAS12" s="782"/>
      <c r="WAT12" s="777"/>
      <c r="WAU12" s="778"/>
      <c r="WAV12" s="779"/>
      <c r="WAW12" s="780"/>
      <c r="WAX12" s="781"/>
      <c r="WAY12" s="782"/>
      <c r="WAZ12" s="782"/>
      <c r="WBA12" s="777"/>
      <c r="WBB12" s="778"/>
      <c r="WBC12" s="779"/>
      <c r="WBD12" s="780"/>
      <c r="WBE12" s="781"/>
      <c r="WBF12" s="782"/>
      <c r="WBG12" s="782"/>
      <c r="WBH12" s="777"/>
      <c r="WBI12" s="778"/>
      <c r="WBJ12" s="779"/>
      <c r="WBK12" s="780"/>
      <c r="WBL12" s="781"/>
      <c r="WBM12" s="782"/>
      <c r="WBN12" s="782"/>
      <c r="WBO12" s="777"/>
      <c r="WBP12" s="778"/>
      <c r="WBQ12" s="779"/>
      <c r="WBR12" s="780"/>
      <c r="WBS12" s="781"/>
      <c r="WBT12" s="782"/>
      <c r="WBU12" s="782"/>
      <c r="WBV12" s="777"/>
      <c r="WBW12" s="778"/>
      <c r="WBX12" s="779"/>
      <c r="WBY12" s="780"/>
      <c r="WBZ12" s="781"/>
      <c r="WCA12" s="782"/>
      <c r="WCB12" s="782"/>
      <c r="WCC12" s="777"/>
      <c r="WCD12" s="778"/>
      <c r="WCE12" s="779"/>
      <c r="WCF12" s="780"/>
      <c r="WCG12" s="781"/>
      <c r="WCH12" s="782"/>
      <c r="WCI12" s="782"/>
      <c r="WCJ12" s="777"/>
      <c r="WCK12" s="778"/>
      <c r="WCL12" s="779"/>
      <c r="WCM12" s="780"/>
      <c r="WCN12" s="781"/>
      <c r="WCO12" s="782"/>
      <c r="WCP12" s="782"/>
      <c r="WCQ12" s="777"/>
      <c r="WCR12" s="778"/>
      <c r="WCS12" s="779"/>
      <c r="WCT12" s="780"/>
      <c r="WCU12" s="781"/>
      <c r="WCV12" s="782"/>
      <c r="WCW12" s="782"/>
      <c r="WCX12" s="777"/>
      <c r="WCY12" s="778"/>
      <c r="WCZ12" s="779"/>
      <c r="WDA12" s="780"/>
      <c r="WDB12" s="781"/>
      <c r="WDC12" s="782"/>
      <c r="WDD12" s="782"/>
      <c r="WDE12" s="777"/>
      <c r="WDF12" s="778"/>
      <c r="WDG12" s="779"/>
      <c r="WDH12" s="780"/>
      <c r="WDI12" s="781"/>
      <c r="WDJ12" s="782"/>
      <c r="WDK12" s="782"/>
      <c r="WDL12" s="777"/>
      <c r="WDM12" s="778"/>
      <c r="WDN12" s="779"/>
      <c r="WDO12" s="780"/>
      <c r="WDP12" s="781"/>
      <c r="WDQ12" s="782"/>
      <c r="WDR12" s="782"/>
      <c r="WDS12" s="777"/>
      <c r="WDT12" s="778"/>
      <c r="WDU12" s="779"/>
      <c r="WDV12" s="780"/>
      <c r="WDW12" s="781"/>
      <c r="WDX12" s="782"/>
      <c r="WDY12" s="782"/>
      <c r="WDZ12" s="777"/>
      <c r="WEA12" s="778"/>
      <c r="WEB12" s="779"/>
      <c r="WEC12" s="780"/>
      <c r="WED12" s="781"/>
      <c r="WEE12" s="782"/>
      <c r="WEF12" s="782"/>
      <c r="WEG12" s="777"/>
      <c r="WEH12" s="778"/>
      <c r="WEI12" s="779"/>
      <c r="WEJ12" s="780"/>
      <c r="WEK12" s="781"/>
      <c r="WEL12" s="782"/>
      <c r="WEM12" s="782"/>
      <c r="WEN12" s="777"/>
      <c r="WEO12" s="778"/>
      <c r="WEP12" s="779"/>
      <c r="WEQ12" s="780"/>
      <c r="WER12" s="781"/>
      <c r="WES12" s="782"/>
      <c r="WET12" s="782"/>
      <c r="WEU12" s="777"/>
      <c r="WEV12" s="778"/>
      <c r="WEW12" s="779"/>
      <c r="WEX12" s="780"/>
      <c r="WEY12" s="781"/>
      <c r="WEZ12" s="782"/>
      <c r="WFA12" s="782"/>
      <c r="WFB12" s="777"/>
      <c r="WFC12" s="778"/>
      <c r="WFD12" s="779"/>
      <c r="WFE12" s="780"/>
      <c r="WFF12" s="781"/>
      <c r="WFG12" s="782"/>
      <c r="WFH12" s="782"/>
      <c r="WFI12" s="777"/>
      <c r="WFJ12" s="778"/>
      <c r="WFK12" s="779"/>
      <c r="WFL12" s="780"/>
      <c r="WFM12" s="781"/>
      <c r="WFN12" s="782"/>
      <c r="WFO12" s="782"/>
      <c r="WFP12" s="777"/>
      <c r="WFQ12" s="778"/>
      <c r="WFR12" s="779"/>
      <c r="WFS12" s="780"/>
      <c r="WFT12" s="781"/>
      <c r="WFU12" s="782"/>
      <c r="WFV12" s="782"/>
      <c r="WFW12" s="777"/>
      <c r="WFX12" s="778"/>
      <c r="WFY12" s="779"/>
      <c r="WFZ12" s="780"/>
      <c r="WGA12" s="781"/>
      <c r="WGB12" s="782"/>
      <c r="WGC12" s="782"/>
      <c r="WGD12" s="777"/>
      <c r="WGE12" s="778"/>
      <c r="WGF12" s="779"/>
      <c r="WGG12" s="780"/>
      <c r="WGH12" s="781"/>
      <c r="WGI12" s="782"/>
      <c r="WGJ12" s="782"/>
      <c r="WGK12" s="777"/>
      <c r="WGL12" s="778"/>
      <c r="WGM12" s="779"/>
      <c r="WGN12" s="780"/>
      <c r="WGO12" s="781"/>
      <c r="WGP12" s="782"/>
      <c r="WGQ12" s="782"/>
      <c r="WGR12" s="777"/>
      <c r="WGS12" s="778"/>
      <c r="WGT12" s="779"/>
      <c r="WGU12" s="780"/>
      <c r="WGV12" s="781"/>
      <c r="WGW12" s="782"/>
      <c r="WGX12" s="782"/>
      <c r="WGY12" s="777"/>
      <c r="WGZ12" s="778"/>
      <c r="WHA12" s="779"/>
      <c r="WHB12" s="780"/>
      <c r="WHC12" s="781"/>
      <c r="WHD12" s="782"/>
      <c r="WHE12" s="782"/>
      <c r="WHF12" s="777"/>
      <c r="WHG12" s="778"/>
      <c r="WHH12" s="779"/>
      <c r="WHI12" s="780"/>
      <c r="WHJ12" s="781"/>
      <c r="WHK12" s="782"/>
      <c r="WHL12" s="782"/>
      <c r="WHM12" s="777"/>
      <c r="WHN12" s="778"/>
      <c r="WHO12" s="779"/>
      <c r="WHP12" s="780"/>
      <c r="WHQ12" s="781"/>
      <c r="WHR12" s="782"/>
      <c r="WHS12" s="782"/>
      <c r="WHT12" s="777"/>
      <c r="WHU12" s="778"/>
      <c r="WHV12" s="779"/>
      <c r="WHW12" s="780"/>
      <c r="WHX12" s="781"/>
      <c r="WHY12" s="782"/>
      <c r="WHZ12" s="782"/>
      <c r="WIA12" s="777"/>
      <c r="WIB12" s="778"/>
      <c r="WIC12" s="779"/>
      <c r="WID12" s="780"/>
      <c r="WIE12" s="781"/>
      <c r="WIF12" s="782"/>
      <c r="WIG12" s="782"/>
      <c r="WIH12" s="777"/>
      <c r="WII12" s="778"/>
      <c r="WIJ12" s="779"/>
      <c r="WIK12" s="780"/>
      <c r="WIL12" s="781"/>
      <c r="WIM12" s="782"/>
      <c r="WIN12" s="782"/>
      <c r="WIO12" s="777"/>
      <c r="WIP12" s="778"/>
      <c r="WIQ12" s="779"/>
      <c r="WIR12" s="780"/>
      <c r="WIS12" s="781"/>
      <c r="WIT12" s="782"/>
      <c r="WIU12" s="782"/>
      <c r="WIV12" s="777"/>
      <c r="WIW12" s="778"/>
      <c r="WIX12" s="779"/>
      <c r="WIY12" s="780"/>
      <c r="WIZ12" s="781"/>
      <c r="WJA12" s="782"/>
      <c r="WJB12" s="782"/>
      <c r="WJC12" s="777"/>
      <c r="WJD12" s="778"/>
      <c r="WJE12" s="779"/>
      <c r="WJF12" s="780"/>
      <c r="WJG12" s="781"/>
      <c r="WJH12" s="782"/>
      <c r="WJI12" s="782"/>
      <c r="WJJ12" s="777"/>
      <c r="WJK12" s="778"/>
      <c r="WJL12" s="779"/>
      <c r="WJM12" s="780"/>
      <c r="WJN12" s="781"/>
      <c r="WJO12" s="782"/>
      <c r="WJP12" s="782"/>
      <c r="WJQ12" s="777"/>
      <c r="WJR12" s="778"/>
      <c r="WJS12" s="779"/>
      <c r="WJT12" s="780"/>
      <c r="WJU12" s="781"/>
      <c r="WJV12" s="782"/>
      <c r="WJW12" s="782"/>
      <c r="WJX12" s="777"/>
      <c r="WJY12" s="778"/>
      <c r="WJZ12" s="779"/>
      <c r="WKA12" s="780"/>
      <c r="WKB12" s="781"/>
      <c r="WKC12" s="782"/>
      <c r="WKD12" s="782"/>
      <c r="WKE12" s="777"/>
      <c r="WKF12" s="778"/>
      <c r="WKG12" s="779"/>
      <c r="WKH12" s="780"/>
      <c r="WKI12" s="781"/>
      <c r="WKJ12" s="782"/>
      <c r="WKK12" s="782"/>
      <c r="WKL12" s="777"/>
      <c r="WKM12" s="778"/>
      <c r="WKN12" s="779"/>
      <c r="WKO12" s="780"/>
      <c r="WKP12" s="781"/>
      <c r="WKQ12" s="782"/>
      <c r="WKR12" s="782"/>
      <c r="WKS12" s="777"/>
      <c r="WKT12" s="778"/>
      <c r="WKU12" s="779"/>
      <c r="WKV12" s="780"/>
      <c r="WKW12" s="781"/>
      <c r="WKX12" s="782"/>
      <c r="WKY12" s="782"/>
      <c r="WKZ12" s="777"/>
      <c r="WLA12" s="778"/>
      <c r="WLB12" s="779"/>
      <c r="WLC12" s="780"/>
      <c r="WLD12" s="781"/>
      <c r="WLE12" s="782"/>
      <c r="WLF12" s="782"/>
      <c r="WLG12" s="777"/>
      <c r="WLH12" s="778"/>
      <c r="WLI12" s="779"/>
      <c r="WLJ12" s="780"/>
      <c r="WLK12" s="781"/>
      <c r="WLL12" s="782"/>
      <c r="WLM12" s="782"/>
      <c r="WLN12" s="777"/>
      <c r="WLO12" s="778"/>
      <c r="WLP12" s="779"/>
      <c r="WLQ12" s="780"/>
      <c r="WLR12" s="781"/>
      <c r="WLS12" s="782"/>
      <c r="WLT12" s="782"/>
      <c r="WLU12" s="777"/>
      <c r="WLV12" s="778"/>
      <c r="WLW12" s="779"/>
      <c r="WLX12" s="780"/>
      <c r="WLY12" s="781"/>
      <c r="WLZ12" s="782"/>
      <c r="WMA12" s="782"/>
      <c r="WMB12" s="777"/>
      <c r="WMC12" s="778"/>
      <c r="WMD12" s="779"/>
      <c r="WME12" s="780"/>
      <c r="WMF12" s="781"/>
      <c r="WMG12" s="782"/>
      <c r="WMH12" s="782"/>
      <c r="WMI12" s="777"/>
      <c r="WMJ12" s="778"/>
      <c r="WMK12" s="779"/>
      <c r="WML12" s="780"/>
      <c r="WMM12" s="781"/>
      <c r="WMN12" s="782"/>
      <c r="WMO12" s="782"/>
      <c r="WMP12" s="777"/>
      <c r="WMQ12" s="778"/>
      <c r="WMR12" s="779"/>
      <c r="WMS12" s="780"/>
      <c r="WMT12" s="781"/>
      <c r="WMU12" s="782"/>
      <c r="WMV12" s="782"/>
      <c r="WMW12" s="777"/>
      <c r="WMX12" s="778"/>
      <c r="WMY12" s="779"/>
      <c r="WMZ12" s="780"/>
      <c r="WNA12" s="781"/>
      <c r="WNB12" s="782"/>
      <c r="WNC12" s="782"/>
      <c r="WND12" s="777"/>
      <c r="WNE12" s="778"/>
      <c r="WNF12" s="779"/>
      <c r="WNG12" s="780"/>
      <c r="WNH12" s="781"/>
      <c r="WNI12" s="782"/>
      <c r="WNJ12" s="782"/>
      <c r="WNK12" s="777"/>
      <c r="WNL12" s="778"/>
      <c r="WNM12" s="779"/>
      <c r="WNN12" s="780"/>
      <c r="WNO12" s="781"/>
      <c r="WNP12" s="782"/>
      <c r="WNQ12" s="782"/>
      <c r="WNR12" s="777"/>
      <c r="WNS12" s="778"/>
      <c r="WNT12" s="779"/>
      <c r="WNU12" s="780"/>
      <c r="WNV12" s="781"/>
      <c r="WNW12" s="782"/>
      <c r="WNX12" s="782"/>
      <c r="WNY12" s="777"/>
      <c r="WNZ12" s="778"/>
      <c r="WOA12" s="779"/>
      <c r="WOB12" s="780"/>
      <c r="WOC12" s="781"/>
      <c r="WOD12" s="782"/>
      <c r="WOE12" s="782"/>
      <c r="WOF12" s="777"/>
      <c r="WOG12" s="778"/>
      <c r="WOH12" s="779"/>
      <c r="WOI12" s="780"/>
      <c r="WOJ12" s="781"/>
      <c r="WOK12" s="782"/>
      <c r="WOL12" s="782"/>
      <c r="WOM12" s="777"/>
      <c r="WON12" s="778"/>
      <c r="WOO12" s="779"/>
      <c r="WOP12" s="780"/>
      <c r="WOQ12" s="781"/>
      <c r="WOR12" s="782"/>
      <c r="WOS12" s="782"/>
      <c r="WOT12" s="777"/>
      <c r="WOU12" s="778"/>
      <c r="WOV12" s="779"/>
      <c r="WOW12" s="780"/>
      <c r="WOX12" s="781"/>
      <c r="WOY12" s="782"/>
      <c r="WOZ12" s="782"/>
      <c r="WPA12" s="777"/>
      <c r="WPB12" s="778"/>
      <c r="WPC12" s="779"/>
      <c r="WPD12" s="780"/>
      <c r="WPE12" s="781"/>
      <c r="WPF12" s="782"/>
      <c r="WPG12" s="782"/>
      <c r="WPH12" s="777"/>
      <c r="WPI12" s="778"/>
      <c r="WPJ12" s="779"/>
      <c r="WPK12" s="780"/>
      <c r="WPL12" s="781"/>
      <c r="WPM12" s="782"/>
      <c r="WPN12" s="782"/>
      <c r="WPO12" s="777"/>
      <c r="WPP12" s="778"/>
      <c r="WPQ12" s="779"/>
      <c r="WPR12" s="780"/>
      <c r="WPS12" s="781"/>
      <c r="WPT12" s="782"/>
      <c r="WPU12" s="782"/>
      <c r="WPV12" s="777"/>
      <c r="WPW12" s="778"/>
      <c r="WPX12" s="779"/>
      <c r="WPY12" s="780"/>
      <c r="WPZ12" s="781"/>
      <c r="WQA12" s="782"/>
      <c r="WQB12" s="782"/>
      <c r="WQC12" s="777"/>
      <c r="WQD12" s="778"/>
      <c r="WQE12" s="779"/>
      <c r="WQF12" s="780"/>
      <c r="WQG12" s="781"/>
      <c r="WQH12" s="782"/>
      <c r="WQI12" s="782"/>
      <c r="WQJ12" s="777"/>
      <c r="WQK12" s="778"/>
      <c r="WQL12" s="779"/>
      <c r="WQM12" s="780"/>
      <c r="WQN12" s="781"/>
      <c r="WQO12" s="782"/>
      <c r="WQP12" s="782"/>
      <c r="WQQ12" s="777"/>
      <c r="WQR12" s="778"/>
      <c r="WQS12" s="779"/>
      <c r="WQT12" s="780"/>
      <c r="WQU12" s="781"/>
      <c r="WQV12" s="782"/>
      <c r="WQW12" s="782"/>
      <c r="WQX12" s="777"/>
      <c r="WQY12" s="778"/>
      <c r="WQZ12" s="779"/>
      <c r="WRA12" s="780"/>
      <c r="WRB12" s="781"/>
      <c r="WRC12" s="782"/>
      <c r="WRD12" s="782"/>
      <c r="WRE12" s="777"/>
      <c r="WRF12" s="778"/>
      <c r="WRG12" s="779"/>
      <c r="WRH12" s="780"/>
      <c r="WRI12" s="781"/>
      <c r="WRJ12" s="782"/>
      <c r="WRK12" s="782"/>
      <c r="WRL12" s="777"/>
      <c r="WRM12" s="778"/>
      <c r="WRN12" s="779"/>
      <c r="WRO12" s="780"/>
      <c r="WRP12" s="781"/>
      <c r="WRQ12" s="782"/>
      <c r="WRR12" s="782"/>
      <c r="WRS12" s="777"/>
      <c r="WRT12" s="778"/>
      <c r="WRU12" s="779"/>
      <c r="WRV12" s="780"/>
      <c r="WRW12" s="781"/>
      <c r="WRX12" s="782"/>
      <c r="WRY12" s="782"/>
      <c r="WRZ12" s="777"/>
      <c r="WSA12" s="778"/>
      <c r="WSB12" s="779"/>
      <c r="WSC12" s="780"/>
      <c r="WSD12" s="781"/>
      <c r="WSE12" s="782"/>
      <c r="WSF12" s="782"/>
      <c r="WSG12" s="777"/>
      <c r="WSH12" s="778"/>
      <c r="WSI12" s="779"/>
      <c r="WSJ12" s="780"/>
      <c r="WSK12" s="781"/>
      <c r="WSL12" s="782"/>
      <c r="WSM12" s="782"/>
      <c r="WSN12" s="777"/>
      <c r="WSO12" s="778"/>
      <c r="WSP12" s="779"/>
      <c r="WSQ12" s="780"/>
      <c r="WSR12" s="781"/>
      <c r="WSS12" s="782"/>
      <c r="WST12" s="782"/>
      <c r="WSU12" s="777"/>
      <c r="WSV12" s="778"/>
      <c r="WSW12" s="779"/>
      <c r="WSX12" s="780"/>
      <c r="WSY12" s="781"/>
      <c r="WSZ12" s="782"/>
      <c r="WTA12" s="782"/>
      <c r="WTB12" s="777"/>
      <c r="WTC12" s="778"/>
      <c r="WTD12" s="779"/>
      <c r="WTE12" s="780"/>
      <c r="WTF12" s="781"/>
      <c r="WTG12" s="782"/>
      <c r="WTH12" s="782"/>
      <c r="WTI12" s="777"/>
      <c r="WTJ12" s="778"/>
      <c r="WTK12" s="779"/>
      <c r="WTL12" s="780"/>
      <c r="WTM12" s="781"/>
      <c r="WTN12" s="782"/>
      <c r="WTO12" s="782"/>
      <c r="WTP12" s="777"/>
      <c r="WTQ12" s="778"/>
      <c r="WTR12" s="779"/>
      <c r="WTS12" s="780"/>
      <c r="WTT12" s="781"/>
      <c r="WTU12" s="782"/>
      <c r="WTV12" s="782"/>
      <c r="WTW12" s="777"/>
      <c r="WTX12" s="778"/>
      <c r="WTY12" s="779"/>
      <c r="WTZ12" s="780"/>
      <c r="WUA12" s="781"/>
      <c r="WUB12" s="782"/>
      <c r="WUC12" s="782"/>
      <c r="WUD12" s="777"/>
      <c r="WUE12" s="778"/>
      <c r="WUF12" s="779"/>
      <c r="WUG12" s="780"/>
      <c r="WUH12" s="781"/>
      <c r="WUI12" s="782"/>
      <c r="WUJ12" s="782"/>
      <c r="WUK12" s="777"/>
      <c r="WUL12" s="778"/>
      <c r="WUM12" s="779"/>
      <c r="WUN12" s="780"/>
      <c r="WUO12" s="781"/>
      <c r="WUP12" s="782"/>
      <c r="WUQ12" s="782"/>
      <c r="WUR12" s="777"/>
      <c r="WUS12" s="778"/>
      <c r="WUT12" s="779"/>
      <c r="WUU12" s="780"/>
      <c r="WUV12" s="781"/>
      <c r="WUW12" s="782"/>
      <c r="WUX12" s="782"/>
      <c r="WUY12" s="777"/>
      <c r="WUZ12" s="778"/>
      <c r="WVA12" s="779"/>
      <c r="WVB12" s="780"/>
      <c r="WVC12" s="781"/>
      <c r="WVD12" s="782"/>
      <c r="WVE12" s="782"/>
      <c r="WVF12" s="777"/>
      <c r="WVG12" s="778"/>
      <c r="WVH12" s="779"/>
      <c r="WVI12" s="780"/>
      <c r="WVJ12" s="781"/>
      <c r="WVK12" s="782"/>
      <c r="WVL12" s="782"/>
      <c r="WVM12" s="777"/>
      <c r="WVN12" s="778"/>
      <c r="WVO12" s="779"/>
      <c r="WVP12" s="780"/>
      <c r="WVQ12" s="781"/>
      <c r="WVR12" s="782"/>
      <c r="WVS12" s="782"/>
      <c r="WVT12" s="777"/>
      <c r="WVU12" s="778"/>
      <c r="WVV12" s="779"/>
      <c r="WVW12" s="780"/>
      <c r="WVX12" s="781"/>
      <c r="WVY12" s="782"/>
      <c r="WVZ12" s="782"/>
      <c r="WWA12" s="777"/>
      <c r="WWB12" s="778"/>
      <c r="WWC12" s="779"/>
      <c r="WWD12" s="780"/>
      <c r="WWE12" s="781"/>
      <c r="WWF12" s="782"/>
      <c r="WWG12" s="782"/>
      <c r="WWH12" s="777"/>
      <c r="WWI12" s="778"/>
      <c r="WWJ12" s="779"/>
      <c r="WWK12" s="780"/>
      <c r="WWL12" s="781"/>
      <c r="WWM12" s="782"/>
      <c r="WWN12" s="782"/>
      <c r="WWO12" s="777"/>
      <c r="WWP12" s="778"/>
      <c r="WWQ12" s="779"/>
      <c r="WWR12" s="780"/>
      <c r="WWS12" s="781"/>
      <c r="WWT12" s="782"/>
      <c r="WWU12" s="782"/>
      <c r="WWV12" s="777"/>
      <c r="WWW12" s="778"/>
      <c r="WWX12" s="779"/>
      <c r="WWY12" s="780"/>
      <c r="WWZ12" s="781"/>
      <c r="WXA12" s="782"/>
      <c r="WXB12" s="782"/>
      <c r="WXC12" s="777"/>
      <c r="WXD12" s="778"/>
      <c r="WXE12" s="779"/>
      <c r="WXF12" s="780"/>
      <c r="WXG12" s="781"/>
      <c r="WXH12" s="782"/>
      <c r="WXI12" s="782"/>
      <c r="WXJ12" s="777"/>
      <c r="WXK12" s="778"/>
      <c r="WXL12" s="779"/>
      <c r="WXM12" s="780"/>
      <c r="WXN12" s="781"/>
      <c r="WXO12" s="782"/>
      <c r="WXP12" s="782"/>
      <c r="WXQ12" s="777"/>
      <c r="WXR12" s="778"/>
      <c r="WXS12" s="779"/>
      <c r="WXT12" s="780"/>
      <c r="WXU12" s="781"/>
      <c r="WXV12" s="782"/>
      <c r="WXW12" s="782"/>
      <c r="WXX12" s="777"/>
      <c r="WXY12" s="778"/>
      <c r="WXZ12" s="779"/>
      <c r="WYA12" s="780"/>
      <c r="WYB12" s="781"/>
      <c r="WYC12" s="782"/>
      <c r="WYD12" s="782"/>
      <c r="WYE12" s="777"/>
      <c r="WYF12" s="778"/>
      <c r="WYG12" s="779"/>
      <c r="WYH12" s="780"/>
      <c r="WYI12" s="781"/>
      <c r="WYJ12" s="782"/>
      <c r="WYK12" s="782"/>
      <c r="WYL12" s="777"/>
      <c r="WYM12" s="778"/>
      <c r="WYN12" s="779"/>
      <c r="WYO12" s="780"/>
      <c r="WYP12" s="781"/>
      <c r="WYQ12" s="782"/>
      <c r="WYR12" s="782"/>
      <c r="WYS12" s="777"/>
      <c r="WYT12" s="778"/>
      <c r="WYU12" s="779"/>
      <c r="WYV12" s="780"/>
      <c r="WYW12" s="781"/>
      <c r="WYX12" s="782"/>
      <c r="WYY12" s="782"/>
      <c r="WYZ12" s="777"/>
      <c r="WZA12" s="778"/>
      <c r="WZB12" s="779"/>
      <c r="WZC12" s="780"/>
      <c r="WZD12" s="781"/>
      <c r="WZE12" s="782"/>
      <c r="WZF12" s="782"/>
      <c r="WZG12" s="777"/>
      <c r="WZH12" s="778"/>
      <c r="WZI12" s="779"/>
      <c r="WZJ12" s="780"/>
      <c r="WZK12" s="781"/>
      <c r="WZL12" s="782"/>
      <c r="WZM12" s="782"/>
      <c r="WZN12" s="777"/>
      <c r="WZO12" s="778"/>
      <c r="WZP12" s="779"/>
      <c r="WZQ12" s="780"/>
      <c r="WZR12" s="781"/>
      <c r="WZS12" s="782"/>
      <c r="WZT12" s="782"/>
      <c r="WZU12" s="777"/>
      <c r="WZV12" s="778"/>
      <c r="WZW12" s="779"/>
      <c r="WZX12" s="780"/>
      <c r="WZY12" s="781"/>
      <c r="WZZ12" s="782"/>
      <c r="XAA12" s="782"/>
      <c r="XAB12" s="777"/>
      <c r="XAC12" s="778"/>
      <c r="XAD12" s="779"/>
      <c r="XAE12" s="780"/>
      <c r="XAF12" s="781"/>
      <c r="XAG12" s="782"/>
      <c r="XAH12" s="782"/>
      <c r="XAI12" s="777"/>
      <c r="XAJ12" s="778"/>
      <c r="XAK12" s="779"/>
      <c r="XAL12" s="780"/>
      <c r="XAM12" s="781"/>
      <c r="XAN12" s="782"/>
      <c r="XAO12" s="782"/>
      <c r="XAP12" s="777"/>
      <c r="XAQ12" s="778"/>
      <c r="XAR12" s="779"/>
      <c r="XAS12" s="780"/>
      <c r="XAT12" s="781"/>
      <c r="XAU12" s="782"/>
      <c r="XAV12" s="782"/>
      <c r="XAW12" s="777"/>
      <c r="XAX12" s="778"/>
      <c r="XAY12" s="779"/>
      <c r="XAZ12" s="780"/>
      <c r="XBA12" s="781"/>
      <c r="XBB12" s="782"/>
      <c r="XBC12" s="782"/>
      <c r="XBD12" s="777"/>
      <c r="XBE12" s="778"/>
      <c r="XBF12" s="779"/>
      <c r="XBG12" s="780"/>
      <c r="XBH12" s="781"/>
      <c r="XBI12" s="782"/>
      <c r="XBJ12" s="782"/>
      <c r="XBK12" s="777"/>
      <c r="XBL12" s="778"/>
      <c r="XBM12" s="779"/>
      <c r="XBN12" s="780"/>
      <c r="XBO12" s="781"/>
      <c r="XBP12" s="782"/>
      <c r="XBQ12" s="782"/>
      <c r="XBR12" s="777"/>
      <c r="XBS12" s="778"/>
      <c r="XBT12" s="779"/>
      <c r="XBU12" s="780"/>
      <c r="XBV12" s="781"/>
      <c r="XBW12" s="782"/>
      <c r="XBX12" s="782"/>
      <c r="XBY12" s="777"/>
      <c r="XBZ12" s="778"/>
      <c r="XCA12" s="779"/>
      <c r="XCB12" s="780"/>
      <c r="XCC12" s="781"/>
      <c r="XCD12" s="782"/>
      <c r="XCE12" s="782"/>
      <c r="XCF12" s="777"/>
      <c r="XCG12" s="778"/>
      <c r="XCH12" s="779"/>
      <c r="XCI12" s="780"/>
      <c r="XCJ12" s="781"/>
      <c r="XCK12" s="782"/>
      <c r="XCL12" s="782"/>
      <c r="XCM12" s="777"/>
      <c r="XCN12" s="778"/>
      <c r="XCO12" s="779"/>
      <c r="XCP12" s="780"/>
      <c r="XCQ12" s="781"/>
      <c r="XCR12" s="782"/>
      <c r="XCS12" s="782"/>
      <c r="XCT12" s="777"/>
      <c r="XCU12" s="778"/>
      <c r="XCV12" s="779"/>
      <c r="XCW12" s="780"/>
      <c r="XCX12" s="781"/>
      <c r="XCY12" s="782"/>
      <c r="XCZ12" s="782"/>
      <c r="XDA12" s="777"/>
      <c r="XDB12" s="778"/>
      <c r="XDC12" s="779"/>
      <c r="XDD12" s="780"/>
      <c r="XDE12" s="781"/>
      <c r="XDF12" s="782"/>
      <c r="XDG12" s="782"/>
      <c r="XDH12" s="777"/>
      <c r="XDI12" s="778"/>
      <c r="XDJ12" s="779"/>
      <c r="XDK12" s="780"/>
      <c r="XDL12" s="781"/>
      <c r="XDM12" s="782"/>
      <c r="XDN12" s="782"/>
      <c r="XDO12" s="777"/>
      <c r="XDP12" s="778"/>
      <c r="XDQ12" s="779"/>
      <c r="XDR12" s="780"/>
      <c r="XDS12" s="781"/>
      <c r="XDT12" s="782"/>
      <c r="XDU12" s="782"/>
      <c r="XDV12" s="777"/>
      <c r="XDW12" s="778"/>
      <c r="XDX12" s="779"/>
      <c r="XDY12" s="780"/>
      <c r="XDZ12" s="781"/>
      <c r="XEA12" s="782"/>
      <c r="XEB12" s="782"/>
      <c r="XEC12" s="777"/>
      <c r="XED12" s="778"/>
      <c r="XEE12" s="779"/>
      <c r="XEF12" s="780"/>
      <c r="XEG12" s="781"/>
      <c r="XEH12" s="782"/>
      <c r="XEI12" s="782"/>
      <c r="XEJ12" s="777"/>
      <c r="XEK12" s="778"/>
      <c r="XEL12" s="779"/>
      <c r="XEM12" s="780"/>
      <c r="XEN12" s="781"/>
      <c r="XEO12" s="782"/>
      <c r="XEP12" s="782"/>
      <c r="XEQ12" s="777"/>
      <c r="XER12" s="778"/>
      <c r="XES12" s="779"/>
      <c r="XET12" s="780"/>
      <c r="XEU12" s="781"/>
      <c r="XEV12" s="782"/>
      <c r="XEW12" s="782"/>
      <c r="XEX12" s="777"/>
      <c r="XEY12" s="778"/>
      <c r="XEZ12" s="779"/>
      <c r="XFA12" s="780"/>
      <c r="XFB12" s="781"/>
      <c r="XFC12" s="782"/>
      <c r="XFD12" s="782"/>
    </row>
    <row r="13" spans="1:16384" ht="14.1" customHeight="1" x14ac:dyDescent="0.3">
      <c r="A13" s="776" t="s">
        <v>308</v>
      </c>
      <c r="B13" s="783"/>
      <c r="C13" s="784"/>
      <c r="D13" s="784"/>
      <c r="E13" s="361">
        <v>490</v>
      </c>
      <c r="F13" s="785"/>
      <c r="G13" s="1847">
        <f>IF(ISBLANK(F12),"",+ABS(E12-E13)/F12)</f>
        <v>9.5</v>
      </c>
      <c r="H13" s="1847"/>
      <c r="I13" s="744"/>
      <c r="J13" s="955"/>
      <c r="K13" s="956"/>
      <c r="L13" s="956"/>
      <c r="M13" s="956"/>
      <c r="N13" s="914"/>
    </row>
    <row r="14" spans="1:16384" ht="14.1" customHeight="1" x14ac:dyDescent="0.3">
      <c r="A14" s="786" t="s">
        <v>728</v>
      </c>
      <c r="B14" s="1074" t="s">
        <v>1043</v>
      </c>
      <c r="C14" s="1121">
        <v>28</v>
      </c>
      <c r="D14" s="1121">
        <v>50</v>
      </c>
      <c r="E14" s="361">
        <v>880</v>
      </c>
      <c r="F14" s="363">
        <v>22</v>
      </c>
      <c r="G14" s="1846"/>
      <c r="H14" s="1846"/>
      <c r="I14" s="744"/>
      <c r="J14" s="955"/>
      <c r="K14" s="956"/>
      <c r="L14" s="956"/>
      <c r="M14" s="956"/>
      <c r="N14" s="914"/>
    </row>
    <row r="15" spans="1:16384" ht="14.1" customHeight="1" x14ac:dyDescent="0.3">
      <c r="A15" s="786" t="s">
        <v>309</v>
      </c>
      <c r="B15" s="783"/>
      <c r="C15" s="784"/>
      <c r="D15" s="784"/>
      <c r="E15" s="361">
        <v>670</v>
      </c>
      <c r="F15" s="785"/>
      <c r="G15" s="1847">
        <f>IF(ISBLANK(F14),"",+ABS(E14-E15)/F14)</f>
        <v>9.545454545454545</v>
      </c>
      <c r="H15" s="1847"/>
      <c r="I15" s="744"/>
      <c r="J15" s="955"/>
      <c r="K15" s="956"/>
      <c r="L15" s="956"/>
      <c r="M15" s="956"/>
      <c r="N15" s="914"/>
    </row>
    <row r="16" spans="1:16384" x14ac:dyDescent="0.3">
      <c r="A16" s="52"/>
      <c r="B16" s="52"/>
      <c r="C16" s="52"/>
      <c r="D16" s="52"/>
      <c r="E16" s="52"/>
      <c r="F16" s="52"/>
      <c r="G16" s="52"/>
      <c r="H16" s="52"/>
      <c r="I16" s="744"/>
      <c r="J16" s="956"/>
      <c r="K16" s="956"/>
      <c r="L16" s="956"/>
      <c r="M16" s="914"/>
      <c r="N16" s="914"/>
    </row>
    <row r="17" spans="1:19" ht="26.4" x14ac:dyDescent="0.3">
      <c r="A17" s="773" t="s">
        <v>536</v>
      </c>
      <c r="B17" s="555" t="s">
        <v>692</v>
      </c>
      <c r="C17" s="559" t="s">
        <v>70</v>
      </c>
      <c r="D17" s="559" t="s">
        <v>196</v>
      </c>
      <c r="E17" s="774" t="s">
        <v>161</v>
      </c>
      <c r="F17" s="775" t="s">
        <v>307</v>
      </c>
      <c r="G17" s="787" t="s">
        <v>456</v>
      </c>
      <c r="H17" s="788" t="s">
        <v>457</v>
      </c>
      <c r="I17" s="744"/>
      <c r="J17" s="956"/>
      <c r="K17" s="956"/>
      <c r="L17" s="956"/>
      <c r="M17" s="914"/>
      <c r="N17" s="914"/>
    </row>
    <row r="18" spans="1:19" ht="14.1" customHeight="1" x14ac:dyDescent="0.3">
      <c r="A18" s="776" t="s">
        <v>727</v>
      </c>
      <c r="B18" s="332" t="s">
        <v>1043</v>
      </c>
      <c r="C18" s="360">
        <v>28</v>
      </c>
      <c r="D18" s="360">
        <v>50</v>
      </c>
      <c r="E18" s="361">
        <v>680</v>
      </c>
      <c r="F18" s="362">
        <v>20</v>
      </c>
      <c r="G18" s="789"/>
      <c r="H18" s="789"/>
      <c r="I18" s="744"/>
      <c r="J18" s="956"/>
      <c r="K18" s="956"/>
      <c r="L18" s="956"/>
      <c r="M18" s="914"/>
      <c r="N18" s="914"/>
    </row>
    <row r="19" spans="1:19" ht="14.1" customHeight="1" x14ac:dyDescent="0.3">
      <c r="A19" s="776" t="s">
        <v>308</v>
      </c>
      <c r="B19" s="783"/>
      <c r="C19" s="784"/>
      <c r="D19" s="784"/>
      <c r="E19" s="361">
        <v>500</v>
      </c>
      <c r="F19" s="785"/>
      <c r="G19" s="790">
        <f>IF(ISBLANK(F18),"",+ABS(E18-E19)/F18)</f>
        <v>9</v>
      </c>
      <c r="H19" s="561">
        <f>+ABS(G13-G19)/G13</f>
        <v>5.2631578947368418E-2</v>
      </c>
      <c r="I19" s="744"/>
      <c r="J19" s="956"/>
      <c r="K19" s="956"/>
      <c r="L19" s="956"/>
      <c r="M19" s="914"/>
      <c r="N19" s="914"/>
    </row>
    <row r="20" spans="1:19" ht="14.1" customHeight="1" x14ac:dyDescent="0.3">
      <c r="A20" s="786" t="s">
        <v>728</v>
      </c>
      <c r="B20" s="1074" t="s">
        <v>1043</v>
      </c>
      <c r="C20" s="1121">
        <v>28</v>
      </c>
      <c r="D20" s="1121">
        <v>50</v>
      </c>
      <c r="E20" s="361">
        <v>870</v>
      </c>
      <c r="F20" s="363">
        <v>22</v>
      </c>
      <c r="G20" s="789"/>
      <c r="H20" s="789"/>
      <c r="I20" s="744"/>
      <c r="J20" s="942"/>
      <c r="K20" s="942"/>
      <c r="L20" s="942"/>
      <c r="M20" s="936"/>
      <c r="N20" s="936"/>
      <c r="O20" s="70"/>
    </row>
    <row r="21" spans="1:19" ht="14.1" customHeight="1" x14ac:dyDescent="0.3">
      <c r="A21" s="786" t="s">
        <v>309</v>
      </c>
      <c r="B21" s="783"/>
      <c r="C21" s="784"/>
      <c r="D21" s="784"/>
      <c r="E21" s="361">
        <v>630</v>
      </c>
      <c r="F21" s="785"/>
      <c r="G21" s="1153">
        <f>IF(ISBLANK(F20),"",+ABS(E20-E21)/F20)</f>
        <v>10.909090909090908</v>
      </c>
      <c r="H21" s="561">
        <f>+ABS(G15-G21)/G15</f>
        <v>0.14285714285714282</v>
      </c>
      <c r="I21" s="744"/>
      <c r="J21" s="942"/>
      <c r="K21" s="942"/>
      <c r="L21" s="942"/>
      <c r="M21" s="936"/>
      <c r="N21" s="936"/>
      <c r="O21" s="70"/>
    </row>
    <row r="22" spans="1:19" ht="14.1" customHeight="1" x14ac:dyDescent="0.3">
      <c r="A22" s="52"/>
      <c r="B22" s="52"/>
      <c r="C22" s="52"/>
      <c r="D22" s="52"/>
      <c r="E22" s="52"/>
      <c r="F22" s="52"/>
      <c r="G22" s="1848" t="s">
        <v>15</v>
      </c>
      <c r="H22" s="1849"/>
      <c r="I22" s="744"/>
      <c r="J22" s="942"/>
      <c r="K22" s="942"/>
      <c r="L22" s="942"/>
      <c r="M22" s="936"/>
      <c r="N22" s="936"/>
      <c r="O22" s="70"/>
    </row>
    <row r="23" spans="1:19" ht="14.1" customHeight="1" x14ac:dyDescent="0.3">
      <c r="A23" s="52"/>
      <c r="B23" s="52"/>
      <c r="C23" s="1857" t="s">
        <v>846</v>
      </c>
      <c r="D23" s="1857"/>
      <c r="E23" s="1857"/>
      <c r="F23" s="829" t="str">
        <f>Info!F37</f>
        <v>20-07-2019</v>
      </c>
      <c r="G23" s="539" t="s">
        <v>16</v>
      </c>
      <c r="H23" s="792" t="s">
        <v>17</v>
      </c>
      <c r="I23" s="744"/>
      <c r="J23" s="1840" t="s">
        <v>574</v>
      </c>
      <c r="K23" s="1841"/>
      <c r="L23" s="1841"/>
      <c r="M23" s="1842"/>
      <c r="N23" s="936"/>
      <c r="O23" s="70"/>
    </row>
    <row r="24" spans="1:19" ht="14.1" customHeight="1" x14ac:dyDescent="0.3">
      <c r="A24" s="52"/>
      <c r="B24" s="52"/>
      <c r="C24" s="1831" t="s">
        <v>838</v>
      </c>
      <c r="D24" s="1831"/>
      <c r="E24" s="1831"/>
      <c r="F24" s="1831"/>
      <c r="G24" s="793" t="str">
        <f>IF(AND(ABS(H19)&lt;=10%,ABS(H21)&lt;=10%),"X","")</f>
        <v/>
      </c>
      <c r="H24" s="791" t="str">
        <f>IF(OR(ABS(H19)&gt;10%,ABS(H21)&gt;10%),"X","")</f>
        <v>X</v>
      </c>
      <c r="I24" s="128"/>
      <c r="J24" s="1843"/>
      <c r="K24" s="1844"/>
      <c r="L24" s="1844"/>
      <c r="M24" s="1845"/>
      <c r="N24" s="936"/>
      <c r="O24" s="70"/>
    </row>
    <row r="25" spans="1:19" x14ac:dyDescent="0.3">
      <c r="A25" s="52"/>
      <c r="B25" s="52"/>
      <c r="C25" s="52"/>
      <c r="D25" s="52"/>
      <c r="E25" s="52"/>
      <c r="F25" s="52"/>
      <c r="G25" s="52"/>
      <c r="H25" s="52"/>
      <c r="I25" s="744"/>
      <c r="J25" s="942"/>
      <c r="K25" s="942"/>
      <c r="L25" s="942"/>
      <c r="M25" s="936"/>
      <c r="N25" s="70"/>
      <c r="O25" s="70"/>
    </row>
    <row r="26" spans="1:19" x14ac:dyDescent="0.3">
      <c r="A26" s="52"/>
      <c r="B26" s="52"/>
      <c r="C26" s="52"/>
      <c r="D26" s="52"/>
      <c r="E26" s="52"/>
      <c r="F26" s="52"/>
      <c r="G26" s="52"/>
      <c r="H26" s="52"/>
      <c r="I26" s="744"/>
      <c r="J26" s="956"/>
      <c r="K26" s="956"/>
      <c r="L26" s="956"/>
      <c r="M26" s="914"/>
    </row>
    <row r="27" spans="1:19" ht="14.1" customHeight="1" x14ac:dyDescent="0.3">
      <c r="A27" s="1854" t="s">
        <v>310</v>
      </c>
      <c r="B27" s="1855"/>
      <c r="C27" s="538" t="s">
        <v>311</v>
      </c>
      <c r="D27" s="1850" t="s">
        <v>15</v>
      </c>
      <c r="E27" s="1851"/>
      <c r="F27" s="794" t="s">
        <v>312</v>
      </c>
      <c r="G27" s="1852" t="s">
        <v>15</v>
      </c>
      <c r="H27" s="1853"/>
      <c r="I27" s="78"/>
      <c r="J27" s="914"/>
      <c r="K27" s="914"/>
      <c r="L27" s="914"/>
      <c r="M27" s="914"/>
    </row>
    <row r="28" spans="1:19" ht="14.1" customHeight="1" x14ac:dyDescent="0.3">
      <c r="A28" s="1856"/>
      <c r="B28" s="1507"/>
      <c r="C28" s="541" t="s">
        <v>313</v>
      </c>
      <c r="D28" s="795" t="s">
        <v>16</v>
      </c>
      <c r="E28" s="795" t="s">
        <v>17</v>
      </c>
      <c r="F28" s="795" t="s">
        <v>314</v>
      </c>
      <c r="G28" s="539" t="s">
        <v>16</v>
      </c>
      <c r="H28" s="796" t="s">
        <v>17</v>
      </c>
      <c r="I28" s="78"/>
      <c r="J28" s="914"/>
      <c r="K28" s="914"/>
      <c r="L28" s="914"/>
      <c r="M28" s="914"/>
    </row>
    <row r="29" spans="1:19" ht="14.1" customHeight="1" x14ac:dyDescent="0.3">
      <c r="A29" s="797" t="s">
        <v>430</v>
      </c>
      <c r="B29" s="798" t="s">
        <v>849</v>
      </c>
      <c r="C29" s="40">
        <v>5.5</v>
      </c>
      <c r="D29" s="785"/>
      <c r="E29" s="799"/>
      <c r="F29" s="40">
        <v>5</v>
      </c>
      <c r="G29" s="800"/>
      <c r="H29" s="801"/>
      <c r="I29" s="78"/>
    </row>
    <row r="30" spans="1:19" ht="14.1" customHeight="1" x14ac:dyDescent="0.3">
      <c r="A30" s="802" t="s">
        <v>847</v>
      </c>
      <c r="B30" s="803" t="s">
        <v>850</v>
      </c>
      <c r="C30" s="364">
        <v>1</v>
      </c>
      <c r="D30" s="804"/>
      <c r="E30" s="799"/>
      <c r="F30" s="364">
        <v>0.5</v>
      </c>
      <c r="G30" s="805"/>
      <c r="H30" s="806"/>
      <c r="I30" s="78"/>
    </row>
    <row r="31" spans="1:19" ht="14.1" customHeight="1" x14ac:dyDescent="0.3">
      <c r="A31" s="807"/>
      <c r="B31" s="808" t="s">
        <v>851</v>
      </c>
      <c r="C31" s="809">
        <f>IF(C29="","",C29-C30)</f>
        <v>4.5</v>
      </c>
      <c r="D31" s="810" t="str">
        <f>IF(C31="","",IF(C31&gt;=4.5,"X",""))</f>
        <v>X</v>
      </c>
      <c r="E31" s="810" t="str">
        <f>IF(C31&lt;4.5,"X","")</f>
        <v/>
      </c>
      <c r="F31" s="809">
        <f>IF(F29="","",F29-F30)</f>
        <v>4.5</v>
      </c>
      <c r="G31" s="810" t="str">
        <f>IF(F31="","",IF(F31&gt;=4.5,"X",""))</f>
        <v>X</v>
      </c>
      <c r="H31" s="810" t="str">
        <f>IF(F31&lt;4.5,"X","")</f>
        <v/>
      </c>
      <c r="I31" s="732"/>
    </row>
    <row r="32" spans="1:19" ht="14.1" customHeight="1" x14ac:dyDescent="0.3">
      <c r="A32" s="797" t="s">
        <v>431</v>
      </c>
      <c r="B32" s="811" t="s">
        <v>852</v>
      </c>
      <c r="C32" s="36">
        <v>4</v>
      </c>
      <c r="D32" s="812"/>
      <c r="E32" s="813"/>
      <c r="F32" s="36">
        <v>4</v>
      </c>
      <c r="G32" s="814"/>
      <c r="H32" s="815"/>
      <c r="I32" s="78"/>
      <c r="J32" s="914"/>
      <c r="K32" s="914"/>
      <c r="L32" s="914"/>
      <c r="M32" s="914"/>
      <c r="N32" s="914"/>
      <c r="O32" s="914"/>
      <c r="P32" s="914"/>
      <c r="Q32" s="914"/>
      <c r="R32" s="914"/>
      <c r="S32" s="914"/>
    </row>
    <row r="33" spans="1:19" ht="14.1" customHeight="1" x14ac:dyDescent="0.3">
      <c r="A33" s="802" t="s">
        <v>848</v>
      </c>
      <c r="B33" s="803" t="s">
        <v>850</v>
      </c>
      <c r="C33" s="364">
        <v>1</v>
      </c>
      <c r="D33" s="816"/>
      <c r="E33" s="813"/>
      <c r="F33" s="364">
        <v>0.5</v>
      </c>
      <c r="G33" s="817"/>
      <c r="H33" s="818"/>
      <c r="I33" s="78"/>
      <c r="J33" s="914"/>
      <c r="K33" s="914"/>
      <c r="L33" s="914"/>
      <c r="M33" s="914"/>
      <c r="N33" s="914"/>
      <c r="O33" s="914"/>
      <c r="P33" s="914"/>
      <c r="Q33" s="914"/>
      <c r="R33" s="914"/>
      <c r="S33" s="914"/>
    </row>
    <row r="34" spans="1:19" ht="14.1" customHeight="1" x14ac:dyDescent="0.3">
      <c r="A34" s="819"/>
      <c r="B34" s="820" t="s">
        <v>851</v>
      </c>
      <c r="C34" s="809">
        <f>IF(C32="","",C32-C33)</f>
        <v>3</v>
      </c>
      <c r="D34" s="810" t="str">
        <f>IF(C34="","",IF(C34&gt;=3.5,"X",""))</f>
        <v/>
      </c>
      <c r="E34" s="810" t="str">
        <f>IF(C34&lt;3.5,"X","")</f>
        <v>X</v>
      </c>
      <c r="F34" s="809">
        <f>IF(F32="","",F32-F33)</f>
        <v>3.5</v>
      </c>
      <c r="G34" s="810" t="str">
        <f>IF(F34="","",IF(F34&gt;=3.5,"X",""))</f>
        <v>X</v>
      </c>
      <c r="H34" s="810" t="str">
        <f>IF(F34&lt;3.5,"X","")</f>
        <v/>
      </c>
      <c r="I34" s="732"/>
      <c r="J34" s="914"/>
      <c r="K34" s="914"/>
      <c r="L34" s="914"/>
      <c r="M34" s="914"/>
      <c r="N34" s="914"/>
      <c r="O34" s="914"/>
      <c r="P34" s="914"/>
      <c r="Q34" s="914"/>
      <c r="R34" s="914"/>
      <c r="S34" s="914"/>
    </row>
    <row r="35" spans="1:19" ht="14.1" customHeight="1" x14ac:dyDescent="0.3">
      <c r="A35" s="797" t="s">
        <v>470</v>
      </c>
      <c r="B35" s="811" t="s">
        <v>849</v>
      </c>
      <c r="C35" s="36">
        <v>4</v>
      </c>
      <c r="D35" s="812"/>
      <c r="E35" s="813"/>
      <c r="F35" s="36">
        <v>4</v>
      </c>
      <c r="G35" s="814"/>
      <c r="H35" s="815"/>
      <c r="I35" s="78"/>
      <c r="J35" s="914"/>
      <c r="K35" s="914"/>
      <c r="L35" s="914"/>
      <c r="M35" s="914"/>
      <c r="N35" s="914"/>
      <c r="O35" s="914"/>
      <c r="P35" s="914"/>
      <c r="Q35" s="914"/>
      <c r="R35" s="914"/>
      <c r="S35" s="914"/>
    </row>
    <row r="36" spans="1:19" ht="14.1" customHeight="1" x14ac:dyDescent="0.3">
      <c r="A36" s="802" t="s">
        <v>848</v>
      </c>
      <c r="B36" s="803" t="s">
        <v>850</v>
      </c>
      <c r="C36" s="364">
        <v>0.5</v>
      </c>
      <c r="D36" s="816"/>
      <c r="E36" s="813"/>
      <c r="F36" s="364">
        <v>1</v>
      </c>
      <c r="G36" s="817"/>
      <c r="H36" s="818"/>
      <c r="I36" s="78"/>
      <c r="J36" s="914"/>
      <c r="K36" s="914"/>
      <c r="L36" s="914"/>
      <c r="M36" s="914"/>
      <c r="N36" s="914"/>
      <c r="O36" s="914"/>
      <c r="P36" s="914"/>
      <c r="Q36" s="914"/>
      <c r="R36" s="914"/>
      <c r="S36" s="914"/>
    </row>
    <row r="37" spans="1:19" ht="14.1" customHeight="1" x14ac:dyDescent="0.3">
      <c r="A37" s="821"/>
      <c r="B37" s="822" t="s">
        <v>851</v>
      </c>
      <c r="C37" s="823">
        <f>IF(C35="","",C35-C36)</f>
        <v>3.5</v>
      </c>
      <c r="D37" s="823" t="str">
        <f>IF(C37="","",IF(C37&gt;=3.5,"X",""))</f>
        <v>X</v>
      </c>
      <c r="E37" s="824" t="str">
        <f>IF(C37&lt;3.5,"X","")</f>
        <v/>
      </c>
      <c r="F37" s="823">
        <f>IF(F35="","",F35-F36)</f>
        <v>3</v>
      </c>
      <c r="G37" s="823" t="str">
        <f>IF(F37="","",IF(F37&gt;=3.5,"X",""))</f>
        <v/>
      </c>
      <c r="H37" s="824" t="str">
        <f>IF(F37&lt;3.5,"X","")</f>
        <v>X</v>
      </c>
      <c r="I37" s="732"/>
      <c r="J37" s="914"/>
      <c r="K37" s="914"/>
      <c r="L37" s="914"/>
      <c r="M37" s="914"/>
      <c r="N37" s="914"/>
      <c r="O37" s="914"/>
      <c r="P37" s="914"/>
      <c r="Q37" s="914"/>
      <c r="R37" s="914"/>
      <c r="S37" s="914"/>
    </row>
    <row r="38" spans="1:19" ht="14.1" customHeight="1" x14ac:dyDescent="0.3">
      <c r="A38" s="52"/>
      <c r="B38" s="52"/>
      <c r="C38" s="52"/>
      <c r="D38" s="52"/>
      <c r="E38" s="52"/>
      <c r="F38" s="52"/>
      <c r="G38" s="52"/>
      <c r="H38" s="52"/>
      <c r="I38" s="78"/>
      <c r="J38" s="956"/>
      <c r="K38" s="956"/>
      <c r="L38" s="956"/>
      <c r="M38" s="914"/>
      <c r="N38" s="914"/>
      <c r="O38" s="914"/>
      <c r="P38" s="914"/>
      <c r="Q38" s="914"/>
      <c r="R38" s="914"/>
      <c r="S38" s="914"/>
    </row>
    <row r="39" spans="1:19" ht="14.1" customHeight="1" x14ac:dyDescent="0.3">
      <c r="A39" s="52"/>
      <c r="B39" s="52"/>
      <c r="C39" s="52"/>
      <c r="D39" s="52"/>
      <c r="E39" s="52"/>
      <c r="F39" s="52"/>
      <c r="G39" s="52"/>
      <c r="H39" s="52"/>
      <c r="I39" s="78"/>
      <c r="J39" s="956"/>
      <c r="K39" s="956"/>
      <c r="L39" s="956"/>
      <c r="M39" s="914"/>
      <c r="N39" s="914"/>
      <c r="O39" s="914"/>
      <c r="P39" s="914"/>
      <c r="Q39" s="914"/>
      <c r="R39" s="914"/>
      <c r="S39" s="914"/>
    </row>
    <row r="40" spans="1:19" ht="14.1" customHeight="1" x14ac:dyDescent="0.3">
      <c r="A40" s="154" t="s">
        <v>315</v>
      </c>
      <c r="B40" s="825"/>
      <c r="C40" s="825"/>
      <c r="D40" s="825"/>
      <c r="E40" s="825"/>
      <c r="F40" s="825"/>
      <c r="G40" s="1495" t="s">
        <v>15</v>
      </c>
      <c r="H40" s="1495"/>
      <c r="I40" s="78"/>
      <c r="J40" s="914"/>
      <c r="K40" s="914"/>
      <c r="L40" s="914"/>
      <c r="M40" s="914"/>
      <c r="N40" s="914"/>
      <c r="O40" s="914"/>
      <c r="P40" s="914"/>
      <c r="Q40" s="914"/>
      <c r="R40" s="914"/>
      <c r="S40" s="914"/>
    </row>
    <row r="41" spans="1:19" ht="14.1" customHeight="1" x14ac:dyDescent="0.3">
      <c r="A41" s="826"/>
      <c r="B41" s="827"/>
      <c r="C41" s="827"/>
      <c r="D41" s="827"/>
      <c r="E41" s="827"/>
      <c r="F41" s="827"/>
      <c r="G41" s="559" t="s">
        <v>16</v>
      </c>
      <c r="H41" s="532" t="s">
        <v>17</v>
      </c>
      <c r="I41" s="78"/>
      <c r="J41" s="914"/>
      <c r="K41" s="914"/>
      <c r="L41" s="914"/>
      <c r="M41" s="914"/>
      <c r="N41" s="914"/>
      <c r="O41" s="914"/>
      <c r="P41" s="914"/>
      <c r="Q41" s="914"/>
      <c r="R41" s="914"/>
      <c r="S41" s="914"/>
    </row>
    <row r="42" spans="1:19" ht="14.1" customHeight="1" x14ac:dyDescent="0.3">
      <c r="A42" s="1833" t="s">
        <v>316</v>
      </c>
      <c r="B42" s="1834"/>
      <c r="C42" s="1835"/>
      <c r="D42" s="1836" t="s">
        <v>317</v>
      </c>
      <c r="E42" s="1563"/>
      <c r="F42" s="1837"/>
      <c r="G42" s="332" t="s">
        <v>150</v>
      </c>
      <c r="H42" s="332"/>
      <c r="I42" s="128"/>
      <c r="J42" s="914"/>
      <c r="K42" s="914"/>
      <c r="L42" s="914"/>
      <c r="M42" s="914"/>
      <c r="N42" s="914"/>
      <c r="O42" s="914"/>
      <c r="P42" s="914"/>
      <c r="Q42" s="914"/>
      <c r="R42" s="914"/>
      <c r="S42" s="914"/>
    </row>
    <row r="43" spans="1:19" ht="14.1" customHeight="1" x14ac:dyDescent="0.3">
      <c r="A43" s="1833" t="s">
        <v>318</v>
      </c>
      <c r="B43" s="1834"/>
      <c r="C43" s="1835"/>
      <c r="D43" s="1836" t="s">
        <v>317</v>
      </c>
      <c r="E43" s="1563"/>
      <c r="F43" s="1837"/>
      <c r="G43" s="332"/>
      <c r="H43" s="332" t="s">
        <v>150</v>
      </c>
      <c r="I43" s="128"/>
      <c r="J43" s="914"/>
      <c r="K43" s="914"/>
      <c r="L43" s="914"/>
      <c r="M43" s="914"/>
      <c r="N43" s="914"/>
      <c r="O43" s="914"/>
      <c r="P43" s="914"/>
      <c r="Q43" s="914"/>
      <c r="R43" s="914"/>
      <c r="S43" s="914"/>
    </row>
    <row r="44" spans="1:19" ht="14.1" customHeight="1" x14ac:dyDescent="0.3">
      <c r="A44" s="1833" t="s">
        <v>319</v>
      </c>
      <c r="B44" s="1834"/>
      <c r="C44" s="1835"/>
      <c r="D44" s="1836" t="s">
        <v>320</v>
      </c>
      <c r="E44" s="1563"/>
      <c r="F44" s="1837"/>
      <c r="G44" s="332" t="s">
        <v>150</v>
      </c>
      <c r="H44" s="332"/>
      <c r="I44" s="128"/>
      <c r="J44" s="914"/>
      <c r="K44" s="914"/>
      <c r="L44" s="914"/>
      <c r="M44" s="914"/>
      <c r="N44" s="914"/>
      <c r="O44" s="914"/>
      <c r="P44" s="914"/>
      <c r="Q44" s="914"/>
      <c r="R44" s="914"/>
      <c r="S44" s="914"/>
    </row>
    <row r="45" spans="1:19" ht="14.1" customHeight="1" x14ac:dyDescent="0.3">
      <c r="A45" s="1833" t="s">
        <v>321</v>
      </c>
      <c r="B45" s="1834"/>
      <c r="C45" s="1835"/>
      <c r="D45" s="1836" t="s">
        <v>320</v>
      </c>
      <c r="E45" s="1563"/>
      <c r="F45" s="1837"/>
      <c r="G45" s="332" t="s">
        <v>150</v>
      </c>
      <c r="H45" s="332"/>
      <c r="I45" s="128"/>
      <c r="J45" s="914"/>
      <c r="K45" s="914"/>
      <c r="L45" s="914"/>
      <c r="M45" s="914"/>
      <c r="N45" s="914"/>
      <c r="O45" s="914"/>
      <c r="P45" s="914"/>
      <c r="Q45" s="914"/>
      <c r="R45" s="914"/>
      <c r="S45" s="914"/>
    </row>
    <row r="46" spans="1:19" ht="14.1" customHeight="1" x14ac:dyDescent="0.3">
      <c r="A46" s="52"/>
      <c r="B46" s="52"/>
      <c r="C46" s="52"/>
      <c r="D46" s="52"/>
      <c r="E46" s="52"/>
      <c r="F46" s="52"/>
      <c r="G46" s="52"/>
      <c r="H46" s="52"/>
      <c r="I46" s="78"/>
      <c r="J46" s="956"/>
      <c r="K46" s="956"/>
      <c r="L46" s="956"/>
      <c r="M46" s="914"/>
      <c r="N46" s="914"/>
      <c r="O46" s="914"/>
      <c r="P46" s="914"/>
      <c r="Q46" s="914"/>
      <c r="R46" s="914"/>
      <c r="S46" s="914"/>
    </row>
    <row r="47" spans="1:19" ht="14.1" customHeight="1" x14ac:dyDescent="0.3">
      <c r="A47" s="1839" t="s">
        <v>778</v>
      </c>
      <c r="B47" s="1839"/>
      <c r="C47" s="1832"/>
      <c r="D47" s="1832"/>
      <c r="E47" s="1832"/>
      <c r="F47" s="1832"/>
      <c r="G47" s="1832"/>
      <c r="H47" s="1832"/>
      <c r="I47" s="204"/>
      <c r="J47" s="914"/>
      <c r="K47" s="914"/>
      <c r="L47" s="914"/>
      <c r="M47" s="914"/>
      <c r="N47" s="914"/>
      <c r="O47" s="914"/>
      <c r="P47" s="914"/>
      <c r="Q47" s="914"/>
      <c r="R47" s="914"/>
      <c r="S47" s="914"/>
    </row>
    <row r="48" spans="1:19" ht="14.1" customHeight="1" x14ac:dyDescent="0.3">
      <c r="A48" s="1838"/>
      <c r="B48" s="1838"/>
      <c r="C48" s="1838"/>
      <c r="D48" s="1838"/>
      <c r="E48" s="1838"/>
      <c r="F48" s="1838"/>
      <c r="G48" s="1838"/>
      <c r="H48" s="1838"/>
      <c r="I48" s="1123" t="s">
        <v>490</v>
      </c>
      <c r="J48" s="914"/>
      <c r="K48" s="914"/>
      <c r="L48" s="914"/>
      <c r="M48" s="914"/>
      <c r="N48" s="914"/>
      <c r="O48" s="914"/>
      <c r="P48" s="914"/>
      <c r="Q48" s="914"/>
      <c r="R48" s="914"/>
      <c r="S48" s="914"/>
    </row>
    <row r="49" spans="1:19" ht="14.1" customHeight="1" x14ac:dyDescent="0.3">
      <c r="A49" s="1832"/>
      <c r="B49" s="1832"/>
      <c r="C49" s="1832"/>
      <c r="D49" s="1832"/>
      <c r="E49" s="1832"/>
      <c r="F49" s="1832"/>
      <c r="G49" s="1832"/>
      <c r="H49" s="1832"/>
      <c r="I49" s="288">
        <f>+COUNTIF(H42:H45,"X")+COUNTIF(E37,"X")+COUNTIF(E31,"X")+COUNTIF(E34,"X")+COUNTIF(H24,"X")+COUNTIF(H37,"X")+COUNTIF(H31,"X")+COUNTIF(H34,"X")</f>
        <v>4</v>
      </c>
      <c r="J49" s="914"/>
      <c r="K49" s="914"/>
      <c r="L49" s="914"/>
      <c r="M49" s="914"/>
      <c r="N49" s="914"/>
      <c r="O49" s="914"/>
      <c r="P49" s="914"/>
      <c r="Q49" s="914"/>
      <c r="R49" s="914"/>
      <c r="S49" s="914"/>
    </row>
    <row r="50" spans="1:19" x14ac:dyDescent="0.3">
      <c r="J50" s="914"/>
      <c r="K50" s="914"/>
      <c r="L50" s="914"/>
      <c r="M50" s="914"/>
      <c r="N50" s="914"/>
      <c r="O50" s="914"/>
      <c r="P50" s="914"/>
      <c r="Q50" s="914"/>
      <c r="R50" s="914"/>
      <c r="S50" s="914"/>
    </row>
    <row r="51" spans="1:19" x14ac:dyDescent="0.3">
      <c r="J51" s="914"/>
      <c r="K51" s="914"/>
      <c r="L51" s="914"/>
      <c r="M51" s="914"/>
      <c r="N51" s="914"/>
      <c r="O51" s="914"/>
      <c r="P51" s="914"/>
      <c r="Q51" s="914"/>
      <c r="R51" s="914"/>
      <c r="S51" s="914"/>
    </row>
    <row r="52" spans="1:19" x14ac:dyDescent="0.3">
      <c r="J52" s="914"/>
      <c r="K52" s="914"/>
      <c r="L52" s="914"/>
      <c r="M52" s="914"/>
      <c r="N52" s="914"/>
      <c r="O52" s="914"/>
      <c r="P52" s="914"/>
      <c r="Q52" s="914"/>
      <c r="R52" s="914"/>
      <c r="S52" s="914"/>
    </row>
    <row r="53" spans="1:19" x14ac:dyDescent="0.3">
      <c r="J53" s="914"/>
      <c r="K53" s="914"/>
      <c r="L53" s="914"/>
      <c r="M53" s="914"/>
      <c r="N53" s="914"/>
      <c r="O53" s="914"/>
      <c r="P53" s="914"/>
      <c r="Q53" s="914"/>
      <c r="R53" s="914"/>
      <c r="S53" s="914"/>
    </row>
  </sheetData>
  <sheetProtection algorithmName="SHA-512" hashValue="BzQLhqhc9S8ue50zEJykzktpQVBLlTNyG6y3AC1UHDmrjOUFk1Qz91ZFbQoSNeJ2JzeqqbtL+1m5JiPsqsKOOA==" saltValue="989DprBr53SvA6RdwzQP+w==" spinCount="100000" sheet="1" objects="1" scenarios="1"/>
  <sortState xmlns:xlrd2="http://schemas.microsoft.com/office/spreadsheetml/2017/richdata2" ref="K4:K10">
    <sortCondition ref="K4:K10"/>
  </sortState>
  <mergeCells count="33">
    <mergeCell ref="J23:M24"/>
    <mergeCell ref="A43:C43"/>
    <mergeCell ref="D43:F43"/>
    <mergeCell ref="G11:H11"/>
    <mergeCell ref="G12:H12"/>
    <mergeCell ref="G13:H13"/>
    <mergeCell ref="G14:H14"/>
    <mergeCell ref="G15:H15"/>
    <mergeCell ref="G22:H22"/>
    <mergeCell ref="D27:E27"/>
    <mergeCell ref="G27:H27"/>
    <mergeCell ref="G40:H40"/>
    <mergeCell ref="A42:C42"/>
    <mergeCell ref="D42:F42"/>
    <mergeCell ref="A27:B28"/>
    <mergeCell ref="C23:E23"/>
    <mergeCell ref="C24:F24"/>
    <mergeCell ref="A49:H49"/>
    <mergeCell ref="A44:C44"/>
    <mergeCell ref="D44:F44"/>
    <mergeCell ref="A45:C45"/>
    <mergeCell ref="D45:F45"/>
    <mergeCell ref="A48:H48"/>
    <mergeCell ref="C47:H47"/>
    <mergeCell ref="A47:B47"/>
    <mergeCell ref="B9:C9"/>
    <mergeCell ref="B6:C6"/>
    <mergeCell ref="B7:C7"/>
    <mergeCell ref="B8:C8"/>
    <mergeCell ref="E6:F6"/>
    <mergeCell ref="E7:F7"/>
    <mergeCell ref="E8:F8"/>
    <mergeCell ref="E9:F9"/>
  </mergeCells>
  <conditionalFormatting sqref="C31">
    <cfRule type="cellIs" dxfId="14" priority="7" operator="lessThan">
      <formula>4.5</formula>
    </cfRule>
  </conditionalFormatting>
  <conditionalFormatting sqref="C34 F34">
    <cfRule type="cellIs" dxfId="13" priority="5" operator="lessThan">
      <formula>3.5</formula>
    </cfRule>
  </conditionalFormatting>
  <conditionalFormatting sqref="C37 F37">
    <cfRule type="cellIs" dxfId="12" priority="4" operator="lessThan">
      <formula>3.5</formula>
    </cfRule>
  </conditionalFormatting>
  <conditionalFormatting sqref="H19 H21">
    <cfRule type="cellIs" dxfId="11" priority="2" operator="greaterThan">
      <formula>0.1</formula>
    </cfRule>
    <cfRule type="cellIs" dxfId="10" priority="3" operator="notBetween">
      <formula>-0.1</formula>
      <formula>0.1</formula>
    </cfRule>
  </conditionalFormatting>
  <conditionalFormatting sqref="F31">
    <cfRule type="cellIs" dxfId="9" priority="1" operator="lessThan">
      <formula>4.5</formula>
    </cfRule>
  </conditionalFormatting>
  <dataValidations count="1">
    <dataValidation type="list" allowBlank="1" showInputMessage="1" showErrorMessage="1" sqref="B9:C9" xr:uid="{00000000-0002-0000-1900-000000000000}">
      <formula1>$K$4:$K$10</formula1>
    </dataValidation>
  </dataValidations>
  <printOptions horizontalCentered="1"/>
  <pageMargins left="0.70866141732283472" right="0.70866141732283472" top="0.74803149606299213" bottom="0.74803149606299213" header="0.31496062992125984" footer="0.31496062992125984"/>
  <pageSetup paperSize="120" scale="92" orientation="portrait" r:id="rId1"/>
  <headerFooter>
    <oddFooter>&amp;CPage &amp;P de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euil17">
    <tabColor theme="3" tint="-0.249977111117893"/>
    <pageSetUpPr fitToPage="1"/>
  </sheetPr>
  <dimension ref="A1:L49"/>
  <sheetViews>
    <sheetView topLeftCell="A6" zoomScaleNormal="100" workbookViewId="0">
      <selection activeCell="A33" sqref="A33"/>
    </sheetView>
  </sheetViews>
  <sheetFormatPr baseColWidth="10" defaultColWidth="10.6640625" defaultRowHeight="14.4" x14ac:dyDescent="0.3"/>
  <cols>
    <col min="1" max="1" width="14" style="50" customWidth="1"/>
    <col min="2" max="3" width="13.6640625" style="50" customWidth="1"/>
    <col min="4" max="4" width="13.33203125" style="50" customWidth="1"/>
    <col min="5" max="6" width="12.5546875" style="50" customWidth="1"/>
    <col min="7" max="7" width="13" style="50" customWidth="1"/>
    <col min="8" max="9" width="11.6640625" style="50" customWidth="1"/>
    <col min="10" max="10" width="5.5546875" style="50" customWidth="1"/>
    <col min="11" max="11" width="71.44140625" style="50" customWidth="1"/>
    <col min="12" max="12" width="16.33203125" style="830" customWidth="1"/>
    <col min="13" max="16384" width="10.6640625" style="50"/>
  </cols>
  <sheetData>
    <row r="1" spans="1:12" x14ac:dyDescent="0.3">
      <c r="A1" s="899" t="s">
        <v>753</v>
      </c>
      <c r="B1" s="900" t="str">
        <f>+Info!C10</f>
        <v>Clinique Ste-Mammo</v>
      </c>
      <c r="C1" s="901"/>
      <c r="D1" s="901"/>
      <c r="E1" s="901"/>
      <c r="F1" s="902"/>
      <c r="G1" s="903" t="s">
        <v>755</v>
      </c>
      <c r="H1" s="901"/>
      <c r="I1" s="904" t="str">
        <f>+Info!C37</f>
        <v>20-01-2020</v>
      </c>
    </row>
    <row r="2" spans="1:12" x14ac:dyDescent="0.3">
      <c r="A2" s="346" t="s">
        <v>754</v>
      </c>
      <c r="B2" s="905" t="str">
        <f>+Info!C21</f>
        <v>Salle 2, Hirad IV</v>
      </c>
      <c r="C2" s="906"/>
      <c r="D2" s="906"/>
      <c r="E2" s="906"/>
      <c r="F2" s="347"/>
      <c r="G2" s="348" t="s">
        <v>756</v>
      </c>
      <c r="H2" s="906"/>
      <c r="I2" s="907" t="str">
        <f>+Info!C35</f>
        <v>Alexandre Toussaint</v>
      </c>
      <c r="J2" s="204"/>
      <c r="L2" s="831" t="s">
        <v>432</v>
      </c>
    </row>
    <row r="3" spans="1:12" x14ac:dyDescent="0.3">
      <c r="A3" s="564"/>
      <c r="B3" s="564"/>
      <c r="C3" s="564"/>
      <c r="D3" s="564"/>
      <c r="E3" s="564"/>
      <c r="F3" s="564"/>
      <c r="G3" s="564"/>
      <c r="H3" s="564"/>
      <c r="I3" s="564"/>
      <c r="J3" s="204"/>
      <c r="L3" s="831" t="s">
        <v>433</v>
      </c>
    </row>
    <row r="4" spans="1:12" x14ac:dyDescent="0.3">
      <c r="A4" s="832" t="s">
        <v>853</v>
      </c>
      <c r="B4" s="217"/>
      <c r="C4" s="217"/>
      <c r="D4" s="217"/>
      <c r="E4" s="217"/>
      <c r="F4" s="217"/>
      <c r="G4" s="217"/>
      <c r="H4" s="217"/>
      <c r="I4" s="564"/>
      <c r="J4" s="204"/>
      <c r="L4" s="831" t="s">
        <v>434</v>
      </c>
    </row>
    <row r="5" spans="1:12" x14ac:dyDescent="0.3">
      <c r="A5" s="581" t="s">
        <v>305</v>
      </c>
      <c r="B5" s="581"/>
      <c r="C5" s="581"/>
      <c r="D5" s="581"/>
      <c r="E5" s="581"/>
      <c r="F5" s="581"/>
      <c r="G5" s="581"/>
      <c r="H5" s="581"/>
      <c r="I5" s="564"/>
      <c r="J5" s="204"/>
      <c r="L5" s="831"/>
    </row>
    <row r="6" spans="1:12" ht="12" customHeight="1" x14ac:dyDescent="0.3">
      <c r="A6" s="833" t="s">
        <v>1032</v>
      </c>
      <c r="B6" s="834"/>
      <c r="C6" s="834"/>
      <c r="D6" s="834"/>
      <c r="E6" s="834"/>
      <c r="F6" s="834"/>
      <c r="G6" s="87"/>
      <c r="H6" s="87"/>
      <c r="I6" s="506"/>
      <c r="J6" s="204"/>
    </row>
    <row r="7" spans="1:12" ht="12" customHeight="1" x14ac:dyDescent="0.3">
      <c r="A7" s="835" t="s">
        <v>854</v>
      </c>
      <c r="B7" s="836"/>
      <c r="C7" s="836"/>
      <c r="D7" s="836"/>
      <c r="E7" s="836"/>
      <c r="F7" s="836"/>
      <c r="G7" s="87"/>
      <c r="H7" s="87"/>
      <c r="I7" s="506"/>
      <c r="J7" s="204"/>
    </row>
    <row r="8" spans="1:12" ht="12" customHeight="1" x14ac:dyDescent="0.3">
      <c r="A8" s="835" t="s">
        <v>322</v>
      </c>
      <c r="B8" s="836"/>
      <c r="C8" s="836"/>
      <c r="D8" s="836"/>
      <c r="E8" s="836"/>
      <c r="F8" s="836"/>
      <c r="G8" s="836"/>
      <c r="H8" s="836"/>
      <c r="I8" s="506"/>
      <c r="J8" s="204"/>
    </row>
    <row r="9" spans="1:12" ht="12" customHeight="1" x14ac:dyDescent="0.3">
      <c r="G9" s="836"/>
      <c r="H9" s="836"/>
      <c r="I9" s="506"/>
      <c r="J9" s="204"/>
    </row>
    <row r="10" spans="1:12" x14ac:dyDescent="0.3">
      <c r="A10" s="533" t="s">
        <v>323</v>
      </c>
      <c r="B10" s="533" t="s">
        <v>324</v>
      </c>
      <c r="C10" s="533" t="s">
        <v>325</v>
      </c>
      <c r="D10" s="533" t="s">
        <v>326</v>
      </c>
      <c r="E10" s="1527" t="s">
        <v>327</v>
      </c>
      <c r="F10" s="837" t="s">
        <v>328</v>
      </c>
      <c r="G10" s="837" t="s">
        <v>328</v>
      </c>
      <c r="H10" s="1711" t="s">
        <v>15</v>
      </c>
      <c r="I10" s="1711"/>
      <c r="J10" s="204"/>
    </row>
    <row r="11" spans="1:12" x14ac:dyDescent="0.3">
      <c r="A11" s="535" t="s">
        <v>329</v>
      </c>
      <c r="B11" s="838" t="s">
        <v>330</v>
      </c>
      <c r="C11" s="838" t="s">
        <v>331</v>
      </c>
      <c r="D11" s="535" t="s">
        <v>332</v>
      </c>
      <c r="E11" s="1532"/>
      <c r="F11" s="839" t="s">
        <v>333</v>
      </c>
      <c r="G11" s="840" t="s">
        <v>435</v>
      </c>
      <c r="H11" s="559" t="s">
        <v>109</v>
      </c>
      <c r="I11" s="559" t="s">
        <v>192</v>
      </c>
      <c r="J11" s="204"/>
    </row>
    <row r="12" spans="1:12" x14ac:dyDescent="0.3">
      <c r="A12" s="365"/>
      <c r="B12" s="36"/>
      <c r="C12" s="36"/>
      <c r="D12" s="366" t="s">
        <v>433</v>
      </c>
      <c r="E12" s="366">
        <v>1</v>
      </c>
      <c r="F12" s="367"/>
      <c r="G12" s="367"/>
      <c r="H12" s="367"/>
      <c r="I12" s="368"/>
      <c r="J12" s="204"/>
    </row>
    <row r="13" spans="1:12" x14ac:dyDescent="0.3">
      <c r="A13" s="369"/>
      <c r="B13" s="40"/>
      <c r="C13" s="40"/>
      <c r="D13" s="370" t="s">
        <v>434</v>
      </c>
      <c r="E13" s="370" t="s">
        <v>345</v>
      </c>
      <c r="F13" s="371"/>
      <c r="G13" s="371"/>
      <c r="H13" s="371"/>
      <c r="I13" s="372"/>
      <c r="J13" s="204"/>
    </row>
    <row r="14" spans="1:12" x14ac:dyDescent="0.3">
      <c r="A14" s="369"/>
      <c r="B14" s="373"/>
      <c r="C14" s="373"/>
      <c r="D14" s="370"/>
      <c r="E14" s="370" t="s">
        <v>349</v>
      </c>
      <c r="F14" s="371"/>
      <c r="G14" s="371"/>
      <c r="H14" s="371"/>
      <c r="I14" s="372"/>
      <c r="J14" s="128"/>
    </row>
    <row r="15" spans="1:12" x14ac:dyDescent="0.3">
      <c r="A15" s="374"/>
      <c r="B15" s="40"/>
      <c r="C15" s="40"/>
      <c r="D15" s="370"/>
      <c r="E15" s="370">
        <v>1</v>
      </c>
      <c r="F15" s="40"/>
      <c r="G15" s="371"/>
      <c r="H15" s="371"/>
      <c r="I15" s="372"/>
      <c r="J15" s="128"/>
    </row>
    <row r="16" spans="1:12" x14ac:dyDescent="0.3">
      <c r="A16" s="374"/>
      <c r="B16" s="40"/>
      <c r="C16" s="40"/>
      <c r="D16" s="370"/>
      <c r="E16" s="370" t="s">
        <v>347</v>
      </c>
      <c r="F16" s="40"/>
      <c r="G16" s="371"/>
      <c r="H16" s="371"/>
      <c r="I16" s="372"/>
      <c r="J16" s="128"/>
    </row>
    <row r="17" spans="1:10" x14ac:dyDescent="0.3">
      <c r="A17" s="374"/>
      <c r="B17" s="40"/>
      <c r="C17" s="40"/>
      <c r="D17" s="370"/>
      <c r="E17" s="370">
        <v>1</v>
      </c>
      <c r="F17" s="40"/>
      <c r="G17" s="371"/>
      <c r="H17" s="371"/>
      <c r="I17" s="372"/>
      <c r="J17" s="128"/>
    </row>
    <row r="18" spans="1:10" x14ac:dyDescent="0.3">
      <c r="A18" s="374"/>
      <c r="B18" s="40"/>
      <c r="C18" s="40"/>
      <c r="D18" s="370"/>
      <c r="E18" s="370"/>
      <c r="F18" s="40"/>
      <c r="G18" s="371"/>
      <c r="H18" s="371"/>
      <c r="I18" s="372"/>
      <c r="J18" s="128"/>
    </row>
    <row r="19" spans="1:10" x14ac:dyDescent="0.3">
      <c r="A19" s="369" t="s">
        <v>334</v>
      </c>
      <c r="B19" s="371"/>
      <c r="C19" s="371"/>
      <c r="D19" s="375"/>
      <c r="E19" s="375">
        <v>0</v>
      </c>
      <c r="F19" s="371"/>
      <c r="G19" s="371"/>
      <c r="H19" s="371"/>
      <c r="I19" s="372"/>
      <c r="J19" s="128"/>
    </row>
    <row r="20" spans="1:10" x14ac:dyDescent="0.3">
      <c r="A20" s="369" t="s">
        <v>335</v>
      </c>
      <c r="B20" s="371"/>
      <c r="C20" s="371"/>
      <c r="D20" s="375"/>
      <c r="E20" s="375">
        <v>0</v>
      </c>
      <c r="F20" s="371"/>
      <c r="G20" s="371"/>
      <c r="H20" s="371"/>
      <c r="I20" s="372"/>
      <c r="J20" s="128"/>
    </row>
    <row r="21" spans="1:10" x14ac:dyDescent="0.3">
      <c r="A21" s="369"/>
      <c r="B21" s="371"/>
      <c r="C21" s="371"/>
      <c r="D21" s="375"/>
      <c r="E21" s="375"/>
      <c r="F21" s="371"/>
      <c r="G21" s="371"/>
      <c r="H21" s="371"/>
      <c r="I21" s="372"/>
      <c r="J21" s="128"/>
    </row>
    <row r="22" spans="1:10" ht="15" thickBot="1" x14ac:dyDescent="0.35">
      <c r="A22" s="376"/>
      <c r="B22" s="377"/>
      <c r="C22" s="377"/>
      <c r="D22" s="378"/>
      <c r="E22" s="378"/>
      <c r="F22" s="377"/>
      <c r="G22" s="377"/>
      <c r="H22" s="377"/>
      <c r="I22" s="379"/>
      <c r="J22" s="128"/>
    </row>
    <row r="23" spans="1:10" x14ac:dyDescent="0.3">
      <c r="A23" s="841" t="s">
        <v>336</v>
      </c>
      <c r="B23" s="215"/>
      <c r="C23" s="215"/>
      <c r="D23" s="586"/>
      <c r="E23" s="586"/>
      <c r="F23" s="586"/>
      <c r="G23" s="586"/>
      <c r="H23" s="586"/>
      <c r="I23" s="52"/>
      <c r="J23" s="128"/>
    </row>
    <row r="24" spans="1:10" x14ac:dyDescent="0.3">
      <c r="A24" s="586"/>
      <c r="B24" s="586"/>
      <c r="C24" s="586"/>
      <c r="D24" s="586"/>
      <c r="E24" s="586"/>
      <c r="F24" s="586"/>
      <c r="G24" s="586"/>
      <c r="H24" s="586"/>
      <c r="I24" s="52"/>
      <c r="J24" s="128"/>
    </row>
    <row r="25" spans="1:10" x14ac:dyDescent="0.3">
      <c r="A25" s="842" t="s">
        <v>855</v>
      </c>
      <c r="B25" s="72"/>
      <c r="C25" s="62"/>
      <c r="D25" s="380">
        <v>160</v>
      </c>
      <c r="E25" s="585" t="s">
        <v>472</v>
      </c>
      <c r="F25" s="101"/>
      <c r="G25" s="101"/>
      <c r="H25" s="101"/>
      <c r="I25" s="52"/>
      <c r="J25" s="204"/>
    </row>
    <row r="26" spans="1:10" x14ac:dyDescent="0.3">
      <c r="A26" s="586"/>
      <c r="B26" s="586"/>
      <c r="C26" s="586"/>
      <c r="D26" s="586"/>
      <c r="E26" s="586"/>
      <c r="F26" s="586"/>
      <c r="G26" s="586"/>
      <c r="H26" s="586"/>
      <c r="I26" s="52"/>
      <c r="J26" s="204"/>
    </row>
    <row r="27" spans="1:10" x14ac:dyDescent="0.3">
      <c r="H27" s="72"/>
      <c r="I27" s="52"/>
      <c r="J27" s="204"/>
    </row>
    <row r="28" spans="1:10" x14ac:dyDescent="0.3">
      <c r="A28" s="586"/>
      <c r="B28" s="586"/>
      <c r="C28" s="586"/>
      <c r="D28" s="586"/>
      <c r="E28" s="586"/>
      <c r="F28" s="586"/>
      <c r="G28" s="586"/>
      <c r="H28" s="586"/>
      <c r="I28" s="225"/>
      <c r="J28" s="204"/>
    </row>
    <row r="29" spans="1:10" x14ac:dyDescent="0.3">
      <c r="A29" s="603" t="s">
        <v>778</v>
      </c>
      <c r="B29" s="603"/>
      <c r="C29" s="603"/>
      <c r="D29" s="1607"/>
      <c r="E29" s="1607"/>
      <c r="F29" s="1607"/>
      <c r="G29" s="1607"/>
      <c r="H29" s="1607"/>
      <c r="I29" s="1607"/>
      <c r="J29" s="204"/>
    </row>
    <row r="30" spans="1:10" x14ac:dyDescent="0.3">
      <c r="A30" s="1838"/>
      <c r="B30" s="1838"/>
      <c r="C30" s="1838"/>
      <c r="D30" s="1838"/>
      <c r="E30" s="1838"/>
      <c r="F30" s="1838"/>
      <c r="G30" s="1838"/>
      <c r="H30" s="1838"/>
      <c r="I30" s="1838"/>
      <c r="J30" s="1123" t="s">
        <v>490</v>
      </c>
    </row>
    <row r="31" spans="1:10" ht="17.100000000000001" customHeight="1" x14ac:dyDescent="0.3">
      <c r="A31" s="1838"/>
      <c r="B31" s="1838"/>
      <c r="C31" s="1838"/>
      <c r="D31" s="1838"/>
      <c r="E31" s="1838"/>
      <c r="F31" s="1838"/>
      <c r="G31" s="1838"/>
      <c r="H31" s="1838"/>
      <c r="I31" s="1838"/>
      <c r="J31" s="5">
        <f>COUNTIF(I12:I22,"X")</f>
        <v>0</v>
      </c>
    </row>
    <row r="32" spans="1:10" ht="17.100000000000001" customHeight="1" x14ac:dyDescent="0.3">
      <c r="A32" s="7"/>
      <c r="B32" s="7"/>
      <c r="C32" s="7"/>
      <c r="D32" s="7"/>
      <c r="E32" s="7"/>
      <c r="F32" s="7"/>
      <c r="G32" s="7"/>
      <c r="H32" s="7"/>
      <c r="I32" s="7"/>
      <c r="J32" s="204"/>
    </row>
    <row r="33" spans="1:12" ht="17.100000000000001" customHeight="1" thickBot="1" x14ac:dyDescent="0.35">
      <c r="A33" s="960" t="s">
        <v>915</v>
      </c>
      <c r="B33" s="961"/>
      <c r="C33" s="961"/>
      <c r="D33" s="961"/>
      <c r="E33" s="961"/>
      <c r="F33" s="961"/>
      <c r="G33" s="961"/>
      <c r="H33" s="7"/>
      <c r="I33" s="7"/>
      <c r="J33" s="843"/>
    </row>
    <row r="34" spans="1:12" ht="29.1" customHeight="1" thickBot="1" x14ac:dyDescent="0.35">
      <c r="A34" s="7"/>
      <c r="B34" s="7"/>
      <c r="C34" s="7"/>
      <c r="D34" s="7"/>
      <c r="E34" s="7"/>
      <c r="F34" s="7"/>
      <c r="G34" s="7"/>
      <c r="H34" s="7"/>
      <c r="I34" s="7"/>
      <c r="K34" s="844" t="s">
        <v>337</v>
      </c>
      <c r="L34" s="845" t="s">
        <v>338</v>
      </c>
    </row>
    <row r="35" spans="1:12" ht="50.1" customHeight="1" thickBot="1" x14ac:dyDescent="0.35">
      <c r="A35" s="7"/>
      <c r="B35" s="7"/>
      <c r="C35" s="7"/>
      <c r="D35" s="7"/>
      <c r="E35" s="7"/>
      <c r="F35" s="7"/>
      <c r="G35" s="7"/>
      <c r="H35" s="7"/>
      <c r="I35" s="7"/>
      <c r="K35" s="846" t="s">
        <v>339</v>
      </c>
      <c r="L35" s="847">
        <v>1</v>
      </c>
    </row>
    <row r="36" spans="1:12" ht="50.1" customHeight="1" thickBot="1" x14ac:dyDescent="0.35">
      <c r="A36" s="7"/>
      <c r="B36" s="7"/>
      <c r="C36" s="7"/>
      <c r="D36" s="7"/>
      <c r="E36" s="7"/>
      <c r="F36" s="7"/>
      <c r="G36" s="7"/>
      <c r="H36" s="7"/>
      <c r="I36" s="7"/>
      <c r="K36" s="846" t="s">
        <v>340</v>
      </c>
      <c r="L36" s="848" t="s">
        <v>341</v>
      </c>
    </row>
    <row r="37" spans="1:12" ht="60" customHeight="1" thickBot="1" x14ac:dyDescent="0.35">
      <c r="A37" s="7"/>
      <c r="B37" s="7"/>
      <c r="C37" s="7"/>
      <c r="D37" s="7"/>
      <c r="E37" s="7"/>
      <c r="F37" s="7"/>
      <c r="G37" s="7"/>
      <c r="H37" s="7"/>
      <c r="I37" s="7"/>
      <c r="K37" s="846" t="s">
        <v>342</v>
      </c>
      <c r="L37" s="848" t="s">
        <v>343</v>
      </c>
    </row>
    <row r="38" spans="1:12" ht="15" thickBot="1" x14ac:dyDescent="0.35">
      <c r="A38" s="7"/>
      <c r="B38" s="7"/>
      <c r="C38" s="7"/>
      <c r="D38" s="7"/>
      <c r="E38" s="7"/>
      <c r="F38" s="7"/>
      <c r="G38" s="7"/>
      <c r="H38" s="7"/>
      <c r="I38" s="7"/>
      <c r="K38" s="846" t="s">
        <v>344</v>
      </c>
      <c r="L38" s="848" t="s">
        <v>345</v>
      </c>
    </row>
    <row r="39" spans="1:12" ht="40.200000000000003" thickBot="1" x14ac:dyDescent="0.35">
      <c r="A39" s="7"/>
      <c r="B39" s="7"/>
      <c r="C39" s="7"/>
      <c r="D39" s="7"/>
      <c r="E39" s="7"/>
      <c r="F39" s="7"/>
      <c r="G39" s="7"/>
      <c r="H39" s="7"/>
      <c r="I39" s="7"/>
      <c r="K39" s="846" t="s">
        <v>346</v>
      </c>
      <c r="L39" s="848" t="s">
        <v>347</v>
      </c>
    </row>
    <row r="40" spans="1:12" ht="40.200000000000003" thickBot="1" x14ac:dyDescent="0.35">
      <c r="A40" s="7"/>
      <c r="B40" s="7"/>
      <c r="C40" s="7"/>
      <c r="D40" s="7"/>
      <c r="E40" s="7"/>
      <c r="F40" s="7"/>
      <c r="G40" s="7"/>
      <c r="H40" s="7"/>
      <c r="I40" s="7"/>
      <c r="K40" s="846" t="s">
        <v>348</v>
      </c>
      <c r="L40" s="847" t="s">
        <v>349</v>
      </c>
    </row>
    <row r="41" spans="1:12" ht="14.7" customHeight="1" x14ac:dyDescent="0.3">
      <c r="A41" s="7"/>
      <c r="B41" s="7"/>
      <c r="C41" s="7"/>
      <c r="D41" s="7"/>
      <c r="E41" s="7"/>
      <c r="F41" s="7"/>
      <c r="G41" s="7"/>
      <c r="H41" s="7"/>
      <c r="I41" s="7"/>
      <c r="L41" s="849">
        <v>0</v>
      </c>
    </row>
    <row r="42" spans="1:12" x14ac:dyDescent="0.3">
      <c r="A42" s="7"/>
      <c r="B42" s="7"/>
      <c r="C42" s="7"/>
      <c r="D42" s="7"/>
      <c r="E42" s="7"/>
      <c r="F42" s="7"/>
      <c r="G42" s="7"/>
      <c r="H42" s="7"/>
      <c r="I42" s="7"/>
    </row>
    <row r="43" spans="1:12" ht="14.7" customHeight="1" x14ac:dyDescent="0.3">
      <c r="A43" s="7"/>
      <c r="B43" s="7"/>
      <c r="C43" s="7"/>
      <c r="D43" s="7"/>
      <c r="E43" s="7"/>
      <c r="F43" s="7"/>
      <c r="G43" s="7"/>
      <c r="H43" s="7"/>
      <c r="I43" s="7"/>
    </row>
    <row r="44" spans="1:12" x14ac:dyDescent="0.3">
      <c r="A44" s="7"/>
      <c r="B44" s="7"/>
      <c r="C44" s="7"/>
      <c r="D44" s="7"/>
      <c r="E44" s="7"/>
      <c r="F44" s="7"/>
      <c r="G44" s="7"/>
      <c r="H44" s="7"/>
      <c r="I44" s="7"/>
    </row>
    <row r="45" spans="1:12" x14ac:dyDescent="0.3">
      <c r="A45" s="7"/>
      <c r="B45" s="7"/>
      <c r="C45" s="7"/>
      <c r="D45" s="7"/>
      <c r="E45" s="7"/>
      <c r="F45" s="7"/>
      <c r="G45" s="7"/>
      <c r="H45" s="7"/>
      <c r="I45" s="7"/>
    </row>
    <row r="46" spans="1:12" x14ac:dyDescent="0.3">
      <c r="A46" s="7"/>
      <c r="B46" s="7"/>
      <c r="C46" s="7"/>
      <c r="D46" s="7"/>
      <c r="E46" s="7"/>
      <c r="F46" s="7"/>
      <c r="G46" s="7"/>
      <c r="H46" s="7"/>
      <c r="I46" s="7"/>
    </row>
    <row r="47" spans="1:12" ht="7.2" customHeight="1" thickBot="1" x14ac:dyDescent="0.35">
      <c r="A47" s="512"/>
      <c r="B47" s="512"/>
      <c r="C47" s="512"/>
      <c r="D47" s="512"/>
      <c r="E47" s="512"/>
      <c r="F47" s="512"/>
      <c r="G47" s="512"/>
      <c r="H47" s="512"/>
      <c r="I47" s="512"/>
    </row>
    <row r="49" spans="1:12" s="103" customFormat="1" x14ac:dyDescent="0.3">
      <c r="A49" s="50"/>
      <c r="B49" s="50"/>
      <c r="C49" s="50"/>
      <c r="D49" s="50"/>
      <c r="E49" s="50"/>
      <c r="F49" s="50"/>
      <c r="G49" s="50"/>
      <c r="H49" s="50"/>
      <c r="I49" s="50"/>
      <c r="L49" s="850"/>
    </row>
  </sheetData>
  <sheetProtection algorithmName="SHA-512" hashValue="vu9+0oZDt8SAsyDrJORKMHerXImTHQEk86BtgVQsQyQCllwSXLSEHpWG+tZfR88ANsxsjUVx0n9DkFy32Y4btA==" saltValue="ikF7rpcOhWCXEZ0d/oRV3A==" spinCount="100000" sheet="1" objects="1" scenarios="1"/>
  <mergeCells count="5">
    <mergeCell ref="A31:I31"/>
    <mergeCell ref="E10:E11"/>
    <mergeCell ref="H10:I10"/>
    <mergeCell ref="A30:I30"/>
    <mergeCell ref="D29:I29"/>
  </mergeCells>
  <dataValidations count="2">
    <dataValidation type="list" allowBlank="1" showInputMessage="1" showErrorMessage="1" sqref="D12:D22" xr:uid="{00000000-0002-0000-1A00-000000000000}">
      <formula1>$L$3:$L$5</formula1>
    </dataValidation>
    <dataValidation type="list" allowBlank="1" showInputMessage="1" showErrorMessage="1" sqref="E12:E22" xr:uid="{00000000-0002-0000-1A00-000001000000}">
      <formula1>$L$35:$L$47</formula1>
    </dataValidation>
  </dataValidations>
  <printOptions horizontalCentered="1"/>
  <pageMargins left="0.70866141732283472" right="0.70866141732283472" top="0.74803149606299213" bottom="0.74803149606299213" header="0.31496062992125984" footer="0.31496062992125984"/>
  <pageSetup paperSize="120" scale="83" orientation="portrait" r:id="rId1"/>
  <headerFooter>
    <oddFooter>&amp;CPage &amp;P de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euil18">
    <tabColor theme="3" tint="-0.249977111117893"/>
    <pageSetUpPr fitToPage="1"/>
  </sheetPr>
  <dimension ref="A1:H39"/>
  <sheetViews>
    <sheetView showWhiteSpace="0" zoomScaleNormal="100" workbookViewId="0">
      <selection activeCell="G41" sqref="G41"/>
    </sheetView>
  </sheetViews>
  <sheetFormatPr baseColWidth="10" defaultColWidth="10.6640625" defaultRowHeight="14.4" x14ac:dyDescent="0.3"/>
  <cols>
    <col min="1" max="1" width="12.6640625" style="50" customWidth="1"/>
    <col min="2" max="3" width="11.44140625" style="50" customWidth="1"/>
    <col min="4" max="4" width="11.6640625" style="50" customWidth="1"/>
    <col min="5" max="6" width="13.6640625" style="50" customWidth="1"/>
    <col min="7" max="7" width="17.44140625" style="50" customWidth="1"/>
    <col min="8" max="16384" width="10.6640625" style="50"/>
  </cols>
  <sheetData>
    <row r="1" spans="1:8" x14ac:dyDescent="0.3">
      <c r="A1" s="53" t="s">
        <v>753</v>
      </c>
      <c r="B1" s="54" t="str">
        <f>+Info!C10</f>
        <v>Clinique Ste-Mammo</v>
      </c>
      <c r="C1" s="55"/>
      <c r="D1" s="55"/>
      <c r="E1" s="55"/>
      <c r="F1" s="56" t="s">
        <v>755</v>
      </c>
      <c r="G1" s="55"/>
      <c r="H1" s="57" t="str">
        <f>+Info!C37</f>
        <v>20-01-2020</v>
      </c>
    </row>
    <row r="2" spans="1:8" x14ac:dyDescent="0.3">
      <c r="A2" s="695" t="s">
        <v>754</v>
      </c>
      <c r="B2" s="59" t="str">
        <f>+Info!C21</f>
        <v>Salle 2, Hirad IV</v>
      </c>
      <c r="C2" s="51"/>
      <c r="D2" s="51"/>
      <c r="E2" s="51"/>
      <c r="F2" s="60" t="s">
        <v>756</v>
      </c>
      <c r="G2" s="51"/>
      <c r="H2" s="61" t="str">
        <f>+Info!C35</f>
        <v>Alexandre Toussaint</v>
      </c>
    </row>
    <row r="3" spans="1:8" x14ac:dyDescent="0.3">
      <c r="A3" s="62"/>
      <c r="B3" s="62"/>
      <c r="C3" s="62"/>
      <c r="D3" s="62"/>
      <c r="E3" s="62"/>
      <c r="F3" s="62"/>
      <c r="G3" s="62"/>
      <c r="H3" s="62"/>
    </row>
    <row r="4" spans="1:8" ht="13.5" customHeight="1" x14ac:dyDescent="0.3">
      <c r="A4" s="851" t="s">
        <v>856</v>
      </c>
      <c r="B4" s="62"/>
      <c r="C4" s="62"/>
      <c r="D4" s="62"/>
      <c r="E4" s="62"/>
      <c r="F4" s="62"/>
      <c r="G4" s="62"/>
      <c r="H4" s="62"/>
    </row>
    <row r="5" spans="1:8" x14ac:dyDescent="0.3">
      <c r="A5" s="143"/>
      <c r="B5" s="62"/>
      <c r="C5" s="62"/>
      <c r="D5" s="62"/>
      <c r="E5" s="62"/>
      <c r="F5" s="62"/>
      <c r="G5" s="62"/>
      <c r="H5" s="62"/>
    </row>
    <row r="6" spans="1:8" s="122" customFormat="1" ht="30" customHeight="1" x14ac:dyDescent="0.3">
      <c r="A6" s="852" t="s">
        <v>350</v>
      </c>
      <c r="B6" s="852" t="s">
        <v>693</v>
      </c>
      <c r="C6" s="852" t="s">
        <v>41</v>
      </c>
      <c r="D6" s="852" t="s">
        <v>691</v>
      </c>
      <c r="E6" s="853" t="s">
        <v>696</v>
      </c>
      <c r="F6" s="853" t="s">
        <v>695</v>
      </c>
      <c r="G6" s="1868" t="s">
        <v>694</v>
      </c>
      <c r="H6" s="1869"/>
    </row>
    <row r="7" spans="1:8" ht="14.1" customHeight="1" x14ac:dyDescent="0.3">
      <c r="A7" s="327"/>
      <c r="B7" s="327"/>
      <c r="C7" s="327"/>
      <c r="D7" s="327"/>
      <c r="E7" s="327"/>
      <c r="F7" s="327"/>
      <c r="G7" s="1867"/>
      <c r="H7" s="1867"/>
    </row>
    <row r="8" spans="1:8" ht="14.1" customHeight="1" x14ac:dyDescent="0.3">
      <c r="A8" s="327"/>
      <c r="B8" s="327"/>
      <c r="C8" s="327"/>
      <c r="D8" s="327"/>
      <c r="E8" s="327"/>
      <c r="F8" s="327"/>
      <c r="G8" s="1867"/>
      <c r="H8" s="1867"/>
    </row>
    <row r="9" spans="1:8" ht="14.1" customHeight="1" x14ac:dyDescent="0.3">
      <c r="A9" s="327"/>
      <c r="B9" s="327"/>
      <c r="C9" s="327"/>
      <c r="D9" s="327"/>
      <c r="E9" s="327"/>
      <c r="F9" s="327"/>
      <c r="G9" s="1867"/>
      <c r="H9" s="1867"/>
    </row>
    <row r="10" spans="1:8" ht="14.1" customHeight="1" x14ac:dyDescent="0.3">
      <c r="A10" s="327"/>
      <c r="B10" s="327"/>
      <c r="C10" s="327"/>
      <c r="D10" s="327"/>
      <c r="E10" s="327"/>
      <c r="F10" s="327"/>
      <c r="G10" s="1867"/>
      <c r="H10" s="1867"/>
    </row>
    <row r="11" spans="1:8" ht="14.1" customHeight="1" x14ac:dyDescent="0.3">
      <c r="A11" s="327"/>
      <c r="B11" s="327"/>
      <c r="C11" s="327"/>
      <c r="D11" s="327"/>
      <c r="E11" s="327"/>
      <c r="F11" s="327"/>
      <c r="G11" s="1867"/>
      <c r="H11" s="1867"/>
    </row>
    <row r="12" spans="1:8" ht="14.1" customHeight="1" x14ac:dyDescent="0.3">
      <c r="A12" s="327"/>
      <c r="B12" s="327"/>
      <c r="C12" s="327"/>
      <c r="D12" s="327"/>
      <c r="E12" s="327"/>
      <c r="F12" s="327"/>
      <c r="G12" s="1867"/>
      <c r="H12" s="1867"/>
    </row>
    <row r="13" spans="1:8" ht="14.1" customHeight="1" x14ac:dyDescent="0.3">
      <c r="A13" s="327"/>
      <c r="B13" s="327"/>
      <c r="C13" s="327"/>
      <c r="D13" s="327"/>
      <c r="E13" s="327"/>
      <c r="F13" s="327"/>
      <c r="G13" s="1867"/>
      <c r="H13" s="1867"/>
    </row>
    <row r="14" spans="1:8" ht="14.1" customHeight="1" x14ac:dyDescent="0.3">
      <c r="A14" s="327"/>
      <c r="B14" s="327"/>
      <c r="C14" s="327"/>
      <c r="D14" s="327"/>
      <c r="E14" s="327"/>
      <c r="F14" s="327"/>
      <c r="G14" s="1867"/>
      <c r="H14" s="1867"/>
    </row>
    <row r="15" spans="1:8" ht="14.1" customHeight="1" x14ac:dyDescent="0.3">
      <c r="A15" s="327"/>
      <c r="B15" s="327"/>
      <c r="C15" s="327"/>
      <c r="D15" s="327"/>
      <c r="E15" s="327"/>
      <c r="F15" s="327"/>
      <c r="G15" s="1867"/>
      <c r="H15" s="1867"/>
    </row>
    <row r="16" spans="1:8" ht="14.1" customHeight="1" x14ac:dyDescent="0.3">
      <c r="A16" s="327"/>
      <c r="B16" s="327"/>
      <c r="C16" s="327"/>
      <c r="D16" s="327"/>
      <c r="E16" s="327"/>
      <c r="F16" s="327"/>
      <c r="G16" s="1867"/>
      <c r="H16" s="1867"/>
    </row>
    <row r="17" spans="1:8" ht="14.1" customHeight="1" x14ac:dyDescent="0.3">
      <c r="A17" s="327"/>
      <c r="B17" s="327"/>
      <c r="C17" s="327"/>
      <c r="D17" s="327"/>
      <c r="E17" s="327"/>
      <c r="F17" s="327"/>
      <c r="G17" s="1867"/>
      <c r="H17" s="1867"/>
    </row>
    <row r="18" spans="1:8" ht="14.1" customHeight="1" x14ac:dyDescent="0.3">
      <c r="A18" s="327"/>
      <c r="B18" s="327"/>
      <c r="C18" s="327"/>
      <c r="D18" s="327"/>
      <c r="E18" s="327"/>
      <c r="F18" s="327"/>
      <c r="G18" s="1867"/>
      <c r="H18" s="1867"/>
    </row>
    <row r="19" spans="1:8" ht="14.1" customHeight="1" x14ac:dyDescent="0.3">
      <c r="A19" s="515"/>
      <c r="B19" s="515"/>
      <c r="C19" s="515"/>
      <c r="D19" s="515"/>
      <c r="E19" s="515"/>
      <c r="F19" s="515"/>
      <c r="G19" s="515"/>
      <c r="H19" s="515"/>
    </row>
    <row r="20" spans="1:8" ht="14.1" customHeight="1" x14ac:dyDescent="0.3">
      <c r="A20" s="1866" t="s">
        <v>857</v>
      </c>
      <c r="B20" s="1866"/>
      <c r="C20" s="1866"/>
      <c r="D20" s="1535" t="s">
        <v>305</v>
      </c>
      <c r="E20" s="1535"/>
      <c r="F20" s="1535"/>
      <c r="G20" s="1535"/>
      <c r="H20" s="1535"/>
    </row>
    <row r="21" spans="1:8" ht="14.1" customHeight="1" x14ac:dyDescent="0.3">
      <c r="A21" s="1535"/>
      <c r="B21" s="1535"/>
      <c r="C21" s="1535"/>
      <c r="D21" s="1535"/>
      <c r="E21" s="1535"/>
      <c r="F21" s="1535"/>
      <c r="G21" s="1535"/>
      <c r="H21" s="1535"/>
    </row>
    <row r="22" spans="1:8" ht="14.1" customHeight="1" x14ac:dyDescent="0.3">
      <c r="A22" s="1535"/>
      <c r="B22" s="1535"/>
      <c r="C22" s="1535"/>
      <c r="D22" s="1535"/>
      <c r="E22" s="1535"/>
      <c r="F22" s="1535"/>
      <c r="G22" s="1535"/>
      <c r="H22" s="1535"/>
    </row>
    <row r="23" spans="1:8" x14ac:dyDescent="0.3">
      <c r="A23" s="515"/>
      <c r="B23" s="515"/>
      <c r="C23" s="515"/>
      <c r="D23" s="515"/>
      <c r="E23" s="515"/>
      <c r="F23" s="515"/>
      <c r="G23" s="515"/>
      <c r="H23" s="515"/>
    </row>
    <row r="24" spans="1:8" x14ac:dyDescent="0.3">
      <c r="A24" s="1858" t="s">
        <v>575</v>
      </c>
      <c r="B24" s="1858"/>
      <c r="C24" s="1858"/>
      <c r="D24" s="515"/>
      <c r="E24" s="515"/>
      <c r="F24" s="515"/>
      <c r="G24" s="515"/>
      <c r="H24" s="515"/>
    </row>
    <row r="25" spans="1:8" x14ac:dyDescent="0.3">
      <c r="A25" s="515"/>
      <c r="B25" s="515"/>
      <c r="C25" s="515"/>
      <c r="D25" s="515"/>
      <c r="E25" s="515"/>
      <c r="F25" s="515"/>
      <c r="G25" s="515"/>
      <c r="H25" s="515"/>
    </row>
    <row r="26" spans="1:8" x14ac:dyDescent="0.3">
      <c r="A26" s="854" t="s">
        <v>350</v>
      </c>
      <c r="B26" s="854" t="s">
        <v>693</v>
      </c>
      <c r="C26" s="854" t="s">
        <v>41</v>
      </c>
      <c r="D26" s="854" t="s">
        <v>691</v>
      </c>
      <c r="E26" s="1864" t="s">
        <v>1057</v>
      </c>
      <c r="F26" s="1865"/>
      <c r="G26" s="1862" t="s">
        <v>694</v>
      </c>
      <c r="H26" s="1863"/>
    </row>
    <row r="27" spans="1:8" x14ac:dyDescent="0.3">
      <c r="A27" s="855"/>
      <c r="B27" s="855"/>
      <c r="C27" s="855"/>
      <c r="D27" s="855"/>
      <c r="E27" s="1859"/>
      <c r="F27" s="1859"/>
      <c r="G27" s="1860"/>
      <c r="H27" s="1861"/>
    </row>
    <row r="28" spans="1:8" x14ac:dyDescent="0.3">
      <c r="A28" s="855"/>
      <c r="B28" s="855"/>
      <c r="C28" s="855"/>
      <c r="D28" s="855"/>
      <c r="E28" s="1859"/>
      <c r="F28" s="1859"/>
      <c r="G28" s="1860"/>
      <c r="H28" s="1861"/>
    </row>
    <row r="29" spans="1:8" x14ac:dyDescent="0.3">
      <c r="A29" s="855"/>
      <c r="B29" s="855"/>
      <c r="C29" s="855"/>
      <c r="D29" s="855"/>
      <c r="E29" s="1859"/>
      <c r="F29" s="1859"/>
      <c r="G29" s="1860"/>
      <c r="H29" s="1861"/>
    </row>
    <row r="30" spans="1:8" x14ac:dyDescent="0.3">
      <c r="A30" s="855"/>
      <c r="B30" s="855"/>
      <c r="C30" s="855"/>
      <c r="D30" s="855"/>
      <c r="E30" s="1859"/>
      <c r="F30" s="1859"/>
      <c r="G30" s="1860"/>
      <c r="H30" s="1861"/>
    </row>
    <row r="31" spans="1:8" x14ac:dyDescent="0.3">
      <c r="A31" s="855"/>
      <c r="B31" s="855"/>
      <c r="C31" s="855"/>
      <c r="D31" s="855"/>
      <c r="E31" s="1859"/>
      <c r="F31" s="1859"/>
      <c r="G31" s="1860"/>
      <c r="H31" s="1861"/>
    </row>
    <row r="32" spans="1:8" x14ac:dyDescent="0.3">
      <c r="A32" s="855"/>
      <c r="B32" s="855"/>
      <c r="C32" s="855"/>
      <c r="D32" s="855"/>
      <c r="E32" s="1859"/>
      <c r="F32" s="1859"/>
      <c r="G32" s="1860"/>
      <c r="H32" s="1861"/>
    </row>
    <row r="33" spans="1:8" x14ac:dyDescent="0.3">
      <c r="A33" s="855"/>
      <c r="B33" s="855"/>
      <c r="C33" s="855"/>
      <c r="D33" s="855"/>
      <c r="E33" s="1859"/>
      <c r="F33" s="1859"/>
      <c r="G33" s="1860"/>
      <c r="H33" s="1861"/>
    </row>
    <row r="34" spans="1:8" x14ac:dyDescent="0.3">
      <c r="A34" s="504" t="s">
        <v>889</v>
      </c>
      <c r="B34" s="515"/>
      <c r="C34" s="515"/>
      <c r="D34" s="515"/>
      <c r="E34" s="515"/>
      <c r="F34" s="515"/>
      <c r="G34" s="515"/>
      <c r="H34" s="515"/>
    </row>
    <row r="35" spans="1:8" x14ac:dyDescent="0.3">
      <c r="A35" s="515"/>
      <c r="B35" s="515"/>
      <c r="C35" s="515"/>
      <c r="D35" s="515"/>
      <c r="E35" s="515"/>
      <c r="F35" s="515"/>
      <c r="G35" s="515"/>
      <c r="H35" s="515"/>
    </row>
    <row r="36" spans="1:8" x14ac:dyDescent="0.3">
      <c r="A36" s="1866" t="s">
        <v>857</v>
      </c>
      <c r="B36" s="1866"/>
      <c r="C36" s="1866"/>
      <c r="D36" s="1838" t="s">
        <v>305</v>
      </c>
      <c r="E36" s="1838"/>
      <c r="F36" s="1838"/>
      <c r="G36" s="1838"/>
      <c r="H36" s="1838"/>
    </row>
    <row r="37" spans="1:8" x14ac:dyDescent="0.3">
      <c r="A37" s="1838"/>
      <c r="B37" s="1838"/>
      <c r="C37" s="1838"/>
      <c r="D37" s="1838"/>
      <c r="E37" s="1838"/>
      <c r="F37" s="1838"/>
      <c r="G37" s="1838"/>
      <c r="H37" s="1838"/>
    </row>
    <row r="38" spans="1:8" x14ac:dyDescent="0.3">
      <c r="A38" s="1838"/>
      <c r="B38" s="1838"/>
      <c r="C38" s="1838"/>
      <c r="D38" s="1838"/>
      <c r="E38" s="1838"/>
      <c r="F38" s="1838"/>
      <c r="G38" s="1838"/>
      <c r="H38" s="1838"/>
    </row>
    <row r="39" spans="1:8" x14ac:dyDescent="0.3">
      <c r="A39" s="515"/>
      <c r="B39" s="515"/>
      <c r="C39" s="515"/>
      <c r="D39" s="515"/>
      <c r="E39" s="515"/>
      <c r="F39" s="515"/>
      <c r="G39" s="515"/>
      <c r="H39" s="515"/>
    </row>
  </sheetData>
  <sheetProtection algorithmName="SHA-512" hashValue="1dc4igYAySYIwiZ6P1KKWQ4j7/S+OtDItJN4USSaGjJhlua5k1B3qcULNRKrcnvnm+9zRGp9n0PdVeqrTnrasQ==" saltValue="xcfxfDaC1cEtrNK/Yg0XyA==" spinCount="100000" sheet="1" objects="1" scenarios="1"/>
  <mergeCells count="38">
    <mergeCell ref="G11:H11"/>
    <mergeCell ref="G6:H6"/>
    <mergeCell ref="G7:H7"/>
    <mergeCell ref="G8:H8"/>
    <mergeCell ref="G9:H9"/>
    <mergeCell ref="G10:H10"/>
    <mergeCell ref="G18:H18"/>
    <mergeCell ref="A21:H21"/>
    <mergeCell ref="A22:H22"/>
    <mergeCell ref="G12:H12"/>
    <mergeCell ref="G13:H13"/>
    <mergeCell ref="G14:H14"/>
    <mergeCell ref="G15:H15"/>
    <mergeCell ref="G16:H16"/>
    <mergeCell ref="G17:H17"/>
    <mergeCell ref="A20:C20"/>
    <mergeCell ref="D20:H20"/>
    <mergeCell ref="G26:H26"/>
    <mergeCell ref="E26:F26"/>
    <mergeCell ref="A36:C36"/>
    <mergeCell ref="D36:H36"/>
    <mergeCell ref="A37:H37"/>
    <mergeCell ref="A38:H38"/>
    <mergeCell ref="A24:C24"/>
    <mergeCell ref="E27:F27"/>
    <mergeCell ref="E28:F28"/>
    <mergeCell ref="E29:F29"/>
    <mergeCell ref="E30:F30"/>
    <mergeCell ref="E31:F31"/>
    <mergeCell ref="E32:F32"/>
    <mergeCell ref="E33:F33"/>
    <mergeCell ref="G27:H27"/>
    <mergeCell ref="G28:H28"/>
    <mergeCell ref="G29:H29"/>
    <mergeCell ref="G30:H30"/>
    <mergeCell ref="G31:H31"/>
    <mergeCell ref="G32:H32"/>
    <mergeCell ref="G33:H33"/>
  </mergeCells>
  <printOptions horizontalCentered="1"/>
  <pageMargins left="0.70866141732283472" right="0.70866141732283472" top="0.74803149606299213" bottom="0.74803149606299213" header="0.31496062992125984" footer="0.31496062992125984"/>
  <pageSetup paperSize="120" scale="94" orientation="portrait" r:id="rId1"/>
  <headerFooter>
    <oddFooter>&amp;CPage &amp;P de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E28" sqref="E28"/>
    </sheetView>
  </sheetViews>
  <sheetFormatPr baseColWidth="10" defaultRowHeight="14.4" x14ac:dyDescent="0.3"/>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30</vt:i4>
      </vt:variant>
    </vt:vector>
  </HeadingPairs>
  <TitlesOfParts>
    <vt:vector size="57" baseType="lpstr">
      <vt:lpstr>Instructions d'utilisation</vt:lpstr>
      <vt:lpstr>Modifs vs dernière version</vt:lpstr>
      <vt:lpstr>Info</vt:lpstr>
      <vt:lpstr>Éqpmt</vt:lpstr>
      <vt:lpstr>2.1 Général</vt:lpstr>
      <vt:lpstr>2.2 Compression</vt:lpstr>
      <vt:lpstr>2.3 SEA</vt:lpstr>
      <vt:lpstr>2.4 Détecteur(lin)</vt:lpstr>
      <vt:lpstr>2.4 Détecteur(log)</vt:lpstr>
      <vt:lpstr>2.5-2.6 Artéfacts</vt:lpstr>
      <vt:lpstr>2.7 Homog-DR</vt:lpstr>
      <vt:lpstr>2.7 Homog-CR</vt:lpstr>
      <vt:lpstr>2.7 Unifo</vt:lpstr>
      <vt:lpstr>2.8 FTM-2.9 stab</vt:lpstr>
      <vt:lpstr>2.9 Tension</vt:lpstr>
      <vt:lpstr>2.10-11-12 CDA_Kerma_DGM</vt:lpstr>
      <vt:lpstr>2.13 Align</vt:lpstr>
      <vt:lpstr>2.14 abMON</vt:lpstr>
      <vt:lpstr>2.14 cMON</vt:lpstr>
      <vt:lpstr>2.14 abMON (2)</vt:lpstr>
      <vt:lpstr>2.14 cMON (2)</vt:lpstr>
      <vt:lpstr>2.14 abMON (3)</vt:lpstr>
      <vt:lpstr>2.14 cMON (3)</vt:lpstr>
      <vt:lpstr>2.15 Fantôme</vt:lpstr>
      <vt:lpstr>2.16 Blindage</vt:lpstr>
      <vt:lpstr>Éq.Mes.Étal.</vt:lpstr>
      <vt:lpstr>Feuille-add</vt:lpstr>
      <vt:lpstr>'2.4 Détecteur(log)'!Anodefiltre</vt:lpstr>
      <vt:lpstr>anodFilt</vt:lpstr>
      <vt:lpstr>cass</vt:lpstr>
      <vt:lpstr>M</vt:lpstr>
      <vt:lpstr>'2.1 Général'!Zone_d_impression</vt:lpstr>
      <vt:lpstr>'2.10-11-12 CDA_Kerma_DGM'!Zone_d_impression</vt:lpstr>
      <vt:lpstr>'2.13 Align'!Zone_d_impression</vt:lpstr>
      <vt:lpstr>'2.14 abMON'!Zone_d_impression</vt:lpstr>
      <vt:lpstr>'2.14 abMON (2)'!Zone_d_impression</vt:lpstr>
      <vt:lpstr>'2.14 abMON (3)'!Zone_d_impression</vt:lpstr>
      <vt:lpstr>'2.14 cMON'!Zone_d_impression</vt:lpstr>
      <vt:lpstr>'2.14 cMON (2)'!Zone_d_impression</vt:lpstr>
      <vt:lpstr>'2.14 cMON (3)'!Zone_d_impression</vt:lpstr>
      <vt:lpstr>'2.15 Fantôme'!Zone_d_impression</vt:lpstr>
      <vt:lpstr>'2.16 Blindage'!Zone_d_impression</vt:lpstr>
      <vt:lpstr>'2.2 Compression'!Zone_d_impression</vt:lpstr>
      <vt:lpstr>'2.3 SEA'!Zone_d_impression</vt:lpstr>
      <vt:lpstr>'2.4 Détecteur(lin)'!Zone_d_impression</vt:lpstr>
      <vt:lpstr>'2.4 Détecteur(log)'!Zone_d_impression</vt:lpstr>
      <vt:lpstr>'2.5-2.6 Artéfacts'!Zone_d_impression</vt:lpstr>
      <vt:lpstr>'2.7 Homog-CR'!Zone_d_impression</vt:lpstr>
      <vt:lpstr>'2.7 Homog-DR'!Zone_d_impression</vt:lpstr>
      <vt:lpstr>'2.7 Unifo'!Zone_d_impression</vt:lpstr>
      <vt:lpstr>'2.8 FTM-2.9 stab'!Zone_d_impression</vt:lpstr>
      <vt:lpstr>'2.9 Tension'!Zone_d_impression</vt:lpstr>
      <vt:lpstr>Éq.Mes.Étal.!Zone_d_impression</vt:lpstr>
      <vt:lpstr>Éqpmt!Zone_d_impression</vt:lpstr>
      <vt:lpstr>Info!Zone_d_impression</vt:lpstr>
      <vt:lpstr>'Instructions d''utilisation'!Zone_d_impression</vt:lpstr>
      <vt:lpstr>'Modifs vs dernière version'!Zone_d_impression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2016-02-22T22:48:36Z</dcterms:created>
  <dcterms:modified xsi:type="dcterms:W3CDTF">2021-04-13T14:59:08Z</dcterms:modified>
</cp:coreProperties>
</file>